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bookViews>
    <workbookView xWindow="12915" yWindow="0" windowWidth="2385" windowHeight="7455" tabRatio="601" firstSheet="1" activeTab="1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Satser!$B$3:$I$9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Satser!$A$44:$I$46</definedName>
    <definedName name="pleie">Satser!$A$23:$I$27</definedName>
    <definedName name="_xlnm.Print_Area" localSheetId="1">Utslag!$A$1:$F$62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Utslag!$A$1:$F$62</definedName>
    <definedName name="Z_CCA592C6_FA5B_4C3F_AAFD_7D399E08D11C_.wvu.Rows" localSheetId="1" hidden="1">Utslag!$133:$133,Utslag!#REF!</definedName>
    <definedName name="økohusd">Satser!#REF!</definedName>
    <definedName name="Økologisk">Satser!#REF!</definedName>
  </definedNames>
  <calcPr calcId="171027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7" i="2" l="1"/>
  <c r="F21" i="2" l="1"/>
  <c r="F17" i="2" l="1"/>
  <c r="F15" i="2"/>
  <c r="F26" i="2"/>
  <c r="F16" i="2"/>
  <c r="F32" i="2"/>
  <c r="E64" i="3" l="1"/>
  <c r="E65" i="3"/>
  <c r="E66" i="3"/>
  <c r="F33" i="2" l="1"/>
  <c r="F34" i="2"/>
  <c r="E119" i="3"/>
  <c r="E104" i="3"/>
  <c r="E101" i="3"/>
  <c r="E98" i="3"/>
  <c r="E61" i="3"/>
  <c r="F61" i="3" s="1"/>
  <c r="E30" i="3"/>
  <c r="F30" i="3" s="1"/>
  <c r="E29" i="3"/>
  <c r="G29" i="3" s="1"/>
  <c r="E31" i="3"/>
  <c r="G31" i="3" s="1"/>
  <c r="E43" i="3"/>
  <c r="E42" i="3"/>
  <c r="A5" i="2"/>
  <c r="F35" i="2" l="1"/>
  <c r="G61" i="3"/>
  <c r="G30" i="3"/>
  <c r="F29" i="3"/>
  <c r="F31" i="3"/>
  <c r="M47" i="3"/>
  <c r="F12" i="2" l="1"/>
  <c r="F9" i="2"/>
  <c r="K18" i="3"/>
  <c r="E62" i="3"/>
  <c r="M41" i="3"/>
  <c r="F24" i="2" s="1"/>
  <c r="F11" i="2"/>
  <c r="F10" i="2"/>
  <c r="M35" i="3" l="1"/>
  <c r="M34" i="3"/>
  <c r="L35" i="3"/>
  <c r="L34" i="3"/>
  <c r="D14" i="3"/>
  <c r="N35" i="3" l="1"/>
  <c r="N34" i="3"/>
  <c r="D13" i="3"/>
  <c r="F13" i="2"/>
  <c r="N36" i="3" l="1"/>
  <c r="F18" i="2" s="1"/>
  <c r="F5" i="2"/>
  <c r="E67" i="3"/>
  <c r="F67" i="3" s="1"/>
  <c r="F66" i="3"/>
  <c r="F65" i="3"/>
  <c r="G64" i="3"/>
  <c r="F51" i="3"/>
  <c r="F63" i="3"/>
  <c r="G63" i="3"/>
  <c r="F62" i="3"/>
  <c r="G62" i="3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84" i="3"/>
  <c r="E185" i="3"/>
  <c r="E186" i="3"/>
  <c r="G186" i="3" s="1"/>
  <c r="E176" i="3"/>
  <c r="G176" i="3" s="1"/>
  <c r="G187" i="3" l="1"/>
  <c r="I176" i="3" s="1"/>
  <c r="G67" i="3"/>
  <c r="G66" i="3"/>
  <c r="G65" i="3"/>
  <c r="F64" i="3"/>
  <c r="C78" i="3" l="1"/>
  <c r="D78" i="3"/>
  <c r="E78" i="3" l="1"/>
  <c r="E46" i="3"/>
  <c r="E45" i="3"/>
  <c r="E39" i="3"/>
  <c r="E38" i="3"/>
  <c r="E35" i="3"/>
  <c r="E32" i="3"/>
  <c r="E28" i="3"/>
  <c r="E26" i="3"/>
  <c r="E27" i="3"/>
  <c r="L6" i="3"/>
  <c r="I16" i="3"/>
  <c r="I10" i="3"/>
  <c r="E10" i="3"/>
  <c r="F10" i="3"/>
  <c r="G10" i="3"/>
  <c r="H10" i="3"/>
  <c r="D10" i="3"/>
  <c r="C13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95" i="3" l="1"/>
  <c r="E93" i="3"/>
  <c r="E90" i="3"/>
  <c r="E87" i="3"/>
  <c r="E84" i="3"/>
  <c r="H128" i="2" l="1"/>
  <c r="J16" i="3"/>
  <c r="K16" i="3"/>
  <c r="L16" i="3"/>
  <c r="M16" i="3"/>
  <c r="N16" i="3"/>
  <c r="O16" i="3"/>
  <c r="E195" i="3" l="1"/>
  <c r="D195" i="3"/>
  <c r="D196" i="3"/>
  <c r="G32" i="3" l="1"/>
  <c r="H211" i="3"/>
  <c r="E192" i="3"/>
  <c r="D193" i="3"/>
  <c r="F6" i="2"/>
  <c r="F8" i="2"/>
  <c r="F14" i="2" l="1"/>
  <c r="F32" i="3"/>
  <c r="E199" i="3" l="1"/>
  <c r="D192" i="3"/>
  <c r="L2" i="3"/>
  <c r="L3" i="3"/>
  <c r="F26" i="3"/>
  <c r="I26" i="3"/>
  <c r="G27" i="3"/>
  <c r="I27" i="3"/>
  <c r="F28" i="3"/>
  <c r="I32" i="3"/>
  <c r="G35" i="3"/>
  <c r="G38" i="3"/>
  <c r="G39" i="3"/>
  <c r="I221" i="3"/>
  <c r="J221" i="3" s="1"/>
  <c r="J222" i="3"/>
  <c r="K222" i="3"/>
  <c r="G42" i="3"/>
  <c r="G43" i="3"/>
  <c r="G45" i="3"/>
  <c r="F46" i="3"/>
  <c r="G49" i="3"/>
  <c r="G54" i="3"/>
  <c r="F55" i="3"/>
  <c r="G55" i="3"/>
  <c r="C146" i="3"/>
  <c r="C148" i="3" s="1"/>
  <c r="C150" i="3" s="1"/>
  <c r="C147" i="3"/>
  <c r="C152" i="3" s="1"/>
  <c r="F104" i="3"/>
  <c r="G119" i="3"/>
  <c r="F199" i="3"/>
  <c r="G199" i="3"/>
  <c r="E200" i="3"/>
  <c r="F200" i="3"/>
  <c r="G200" i="3"/>
  <c r="C235" i="3"/>
  <c r="C237" i="3" s="1"/>
  <c r="H6" i="2"/>
  <c r="H10" i="2"/>
  <c r="H132" i="2"/>
  <c r="H131" i="2"/>
  <c r="H133" i="2"/>
  <c r="H12" i="2"/>
  <c r="H13" i="2"/>
  <c r="H16" i="2"/>
  <c r="H17" i="2"/>
  <c r="H22" i="2"/>
  <c r="H24" i="2"/>
  <c r="H29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G102" i="1" s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F128" i="1"/>
  <c r="G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D167" i="1"/>
  <c r="C262" i="1" s="1"/>
  <c r="D170" i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C258" i="1"/>
  <c r="B262" i="1"/>
  <c r="E167" i="1" s="1"/>
  <c r="B266" i="1"/>
  <c r="C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H296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F104" i="1"/>
  <c r="E91" i="1" l="1"/>
  <c r="F91" i="1" s="1"/>
  <c r="G126" i="1"/>
  <c r="G91" i="1"/>
  <c r="C14" i="3"/>
  <c r="E14" i="3" s="1"/>
  <c r="D245" i="1"/>
  <c r="E246" i="1" s="1"/>
  <c r="E282" i="1" s="1"/>
  <c r="D210" i="1" s="1"/>
  <c r="G131" i="1"/>
  <c r="G111" i="1"/>
  <c r="F105" i="1"/>
  <c r="E53" i="1"/>
  <c r="L5" i="3"/>
  <c r="L7" i="3" s="1"/>
  <c r="H117" i="2"/>
  <c r="E35" i="1"/>
  <c r="G117" i="1"/>
  <c r="F117" i="1"/>
  <c r="E122" i="1"/>
  <c r="F122" i="1" s="1"/>
  <c r="G103" i="1"/>
  <c r="E71" i="1"/>
  <c r="E27" i="1"/>
  <c r="H19" i="2"/>
  <c r="G133" i="1"/>
  <c r="E34" i="1"/>
  <c r="E32" i="1"/>
  <c r="F38" i="3"/>
  <c r="D266" i="1"/>
  <c r="E267" i="1" s="1"/>
  <c r="D258" i="1"/>
  <c r="E259" i="1" s="1"/>
  <c r="D246" i="1"/>
  <c r="E36" i="1"/>
  <c r="E31" i="1"/>
  <c r="F54" i="3"/>
  <c r="F95" i="3"/>
  <c r="G95" i="3"/>
  <c r="G157" i="1"/>
  <c r="F157" i="1"/>
  <c r="G110" i="1"/>
  <c r="E98" i="1"/>
  <c r="D271" i="1"/>
  <c r="E272" i="1" s="1"/>
  <c r="E95" i="1"/>
  <c r="E33" i="1"/>
  <c r="E25" i="1"/>
  <c r="D279" i="1"/>
  <c r="E280" i="1" s="1"/>
  <c r="D199" i="3"/>
  <c r="H199" i="3" s="1"/>
  <c r="F119" i="3"/>
  <c r="E109" i="1"/>
  <c r="E70" i="1"/>
  <c r="D250" i="1"/>
  <c r="E251" i="1" s="1"/>
  <c r="F111" i="1"/>
  <c r="G132" i="1"/>
  <c r="E30" i="1"/>
  <c r="C29" i="1"/>
  <c r="E29" i="1" s="1"/>
  <c r="E26" i="1"/>
  <c r="E24" i="1"/>
  <c r="D200" i="3"/>
  <c r="H200" i="3" s="1"/>
  <c r="D255" i="1"/>
  <c r="C22" i="1"/>
  <c r="C23" i="1" s="1"/>
  <c r="E23" i="1" s="1"/>
  <c r="E18" i="3"/>
  <c r="F39" i="3"/>
  <c r="F35" i="3"/>
  <c r="K221" i="3"/>
  <c r="E16" i="3"/>
  <c r="E15" i="3"/>
  <c r="F42" i="3"/>
  <c r="F49" i="3"/>
  <c r="I46" i="3"/>
  <c r="G46" i="3"/>
  <c r="G28" i="3"/>
  <c r="F87" i="3"/>
  <c r="G87" i="3"/>
  <c r="F98" i="3"/>
  <c r="G98" i="3"/>
  <c r="G90" i="3"/>
  <c r="F90" i="3"/>
  <c r="G51" i="3"/>
  <c r="F45" i="3"/>
  <c r="G104" i="3"/>
  <c r="E19" i="3"/>
  <c r="I45" i="3"/>
  <c r="F27" i="3"/>
  <c r="F43" i="3"/>
  <c r="G26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G122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20" i="3" l="1"/>
  <c r="F19" i="2" s="1"/>
  <c r="G68" i="3"/>
  <c r="H188" i="3"/>
  <c r="F22" i="2"/>
  <c r="H30" i="2"/>
  <c r="F68" i="3"/>
  <c r="E22" i="1"/>
  <c r="E37" i="1" s="1"/>
  <c r="H27" i="2" s="1"/>
  <c r="G95" i="1"/>
  <c r="F95" i="1"/>
  <c r="G109" i="1"/>
  <c r="F109" i="1"/>
  <c r="G98" i="1"/>
  <c r="F98" i="1"/>
  <c r="D201" i="3"/>
  <c r="E201" i="3"/>
  <c r="F201" i="3"/>
  <c r="G201" i="3"/>
  <c r="G84" i="3"/>
  <c r="F84" i="3"/>
  <c r="F93" i="3"/>
  <c r="G93" i="3"/>
  <c r="F101" i="3"/>
  <c r="G101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F70" i="3" l="1"/>
  <c r="C75" i="3"/>
  <c r="C72" i="3"/>
  <c r="C74" i="3"/>
  <c r="C73" i="3"/>
  <c r="G70" i="3"/>
  <c r="F127" i="3"/>
  <c r="I74" i="3"/>
  <c r="H201" i="3"/>
  <c r="H202" i="3" s="1"/>
  <c r="H210" i="3" s="1"/>
  <c r="G127" i="3"/>
  <c r="C203" i="1"/>
  <c r="C207" i="1" s="1"/>
  <c r="H28" i="2" s="1"/>
  <c r="C206" i="1"/>
  <c r="C205" i="1"/>
  <c r="C204" i="1"/>
  <c r="G28" i="2" s="1"/>
  <c r="E20" i="2" l="1"/>
  <c r="C134" i="3"/>
  <c r="C133" i="3"/>
  <c r="C132" i="3"/>
  <c r="C76" i="3"/>
  <c r="F20" i="2" s="1"/>
  <c r="D80" i="3"/>
  <c r="C131" i="3"/>
  <c r="C155" i="3"/>
  <c r="C135" i="3" l="1"/>
  <c r="F23" i="2" s="1"/>
  <c r="C154" i="3"/>
  <c r="C153" i="3"/>
  <c r="C156" i="3"/>
  <c r="C157" i="3"/>
  <c r="I73" i="3" l="1"/>
  <c r="I75" i="3"/>
  <c r="I72" i="3"/>
  <c r="I76" i="3" l="1"/>
  <c r="F27" i="2"/>
  <c r="F28" i="2" s="1"/>
  <c r="F36" i="2" s="1"/>
</calcChain>
</file>

<file path=xl/comments1.xml><?xml version="1.0" encoding="utf-8"?>
<comments xmlns="http://schemas.openxmlformats.org/spreadsheetml/2006/main">
  <authors>
    <author>Hanne Margrete Johnsen</author>
    <author>BrukerBondelaget</author>
  </authors>
  <commentList>
    <comment ref="E49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195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I222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<sst xmlns="http://schemas.openxmlformats.org/spreadsheetml/2006/main" count="713" uniqueCount="301">
  <si>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</si>
  <si>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</si>
  <si>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</si>
  <si>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</si>
  <si>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</si>
  <si>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</si>
  <si>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</si>
  <si>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</si>
  <si>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</si>
  <si>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</si>
  <si>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</si>
  <si>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</si>
  <si>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</si>
  <si>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</si>
  <si>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</si>
  <si>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</si>
  <si>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</si>
  <si>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</si>
  <si>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</si>
  <si>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</si>
  <si>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</si>
  <si>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</si>
  <si>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</si>
  <si>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</si>
  <si>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</si>
  <si>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</si>
  <si>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</si>
  <si>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</si>
  <si>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</si>
  <si>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</si>
  <si>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</si>
  <si>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</si>
  <si>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</si>
  <si>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</si>
  <si>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</si>
  <si>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</si>
  <si>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</si>
  <si>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</si>
  <si>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</si>
  <si>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</si>
  <si>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</si>
  <si>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</si>
  <si>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</si>
  <si>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</si>
  <si>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</si>
  <si>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</si>
  <si>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</si>
  <si>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</si>
  <si>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</si>
  <si>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</si>
  <si>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</si>
  <si>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</si>
  <si>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</si>
  <si>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</si>
  <si>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</si>
  <si>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</si>
  <si>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</si>
  <si>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</si>
  <si>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</si>
  <si>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</si>
  <si>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</si>
  <si>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</si>
  <si>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</si>
  <si>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</si>
  <si>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</si>
  <si>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</si>
  <si>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</si>
  <si>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</si>
  <si>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</si>
  <si>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</si>
  <si>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</si>
  <si>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</si>
  <si>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</si>
  <si>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</si>
  <si>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</si>
  <si>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</si>
  <si>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</si>
  <si>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</si>
  <si>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</si>
  <si>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</si>
  <si>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</si>
  <si>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</si>
  <si>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</si>
  <si>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</si>
  <si>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</si>
  <si>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</si>
  <si>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</si>
  <si>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</si>
  <si>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</si>
  <si>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</si>
  <si>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</si>
  <si>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</si>
  <si>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</si>
  <si>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</si>
  <si>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</si>
  <si>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</si>
  <si>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</si>
  <si>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</si>
  <si>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</si>
  <si>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</si>
  <si>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</si>
  <si>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</si>
  <si>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</si>
  <si>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</si>
  <si>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</si>
  <si>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</si>
  <si>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</si>
  <si>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</si>
  <si>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</si>
  <si>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</si>
  <si>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</si>
  <si>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</si>
  <si>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</si>
  <si>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</si>
  <si>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</si>
  <si>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</si>
  <si>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</si>
  <si>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</si>
  <si>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</si>
  <si>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</si>
  <si>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</si>
  <si>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</si>
  <si>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</si>
  <si>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</si>
  <si>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</si>
  <si>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</si>
  <si>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</si>
  <si>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</si>
  <si>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</si>
  <si>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</si>
  <si>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</si>
  <si>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</si>
  <si>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</si>
  <si>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</si>
  <si>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</si>
  <si>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</si>
  <si>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</si>
  <si>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</si>
  <si>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</si>
  <si>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</si>
  <si>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</si>
  <si>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</si>
  <si>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</si>
  <si>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</si>
  <si>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</si>
  <si>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</si>
  <si>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</si>
  <si>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</si>
  <si>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</si>
  <si>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</si>
  <si>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</si>
  <si>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</si>
  <si>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</si>
  <si>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</si>
  <si>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</si>
  <si>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</si>
  <si>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</si>
  <si>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</si>
  <si>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</si>
  <si>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</si>
  <si>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</si>
  <si>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</si>
  <si>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</si>
  <si>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</si>
  <si>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</si>
  <si>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</si>
  <si>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</si>
  <si>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</si>
  <si>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</si>
  <si>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</si>
  <si>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</si>
  <si>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</si>
  <si>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</si>
  <si>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</si>
  <si>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</si>
  <si>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</si>
  <si>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</si>
  <si>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</si>
  <si>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</si>
  <si>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</si>
  <si>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</si>
  <si>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</si>
  <si>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</si>
  <si>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</si>
  <si>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</si>
  <si>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</si>
  <si>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</si>
  <si>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</si>
  <si>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</si>
  <si>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</si>
  <si>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</si>
  <si>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</si>
  <si>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</si>
  <si>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</si>
  <si>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</si>
  <si>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</si>
  <si>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</si>
  <si>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</si>
  <si>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</si>
  <si>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</si>
  <si>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</si>
  <si>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Kr</t>
  </si>
  <si>
    <t>Fjørfekjøtt</t>
  </si>
  <si>
    <t xml:space="preserve">NB! NB! DETTE UTSLAGET ER IKKE DET SAMME SOM ØKT INNTEKT !!! 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</si>
  <si>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</si>
  <si>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</si>
  <si>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</si>
  <si>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</si>
  <si>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</si>
  <si>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</si>
  <si>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</si>
  <si>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</si>
  <si>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</si>
  <si>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</si>
  <si>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</si>
  <si>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</si>
  <si>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Forventet kostnadsvekst:</t>
  </si>
  <si>
    <t>Kostnader  (NB MÅ LEGGES INN)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</si>
  <si>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</si>
  <si>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</si>
  <si>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</si>
  <si>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</si>
  <si>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</si>
  <si>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</si>
  <si>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</si>
  <si>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</si>
  <si>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</si>
  <si>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Kraftfôrmengde</t>
  </si>
  <si>
    <t>Andre driftskostnader</t>
  </si>
  <si>
    <t>Alle dekar</t>
  </si>
  <si>
    <t xml:space="preserve">Frukt </t>
  </si>
  <si>
    <t>1-100</t>
  </si>
  <si>
    <t>101+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</si>
  <si>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</si>
  <si>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</si>
  <si>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</si>
  <si>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</si>
  <si>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</si>
  <si>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</si>
  <si>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</si>
  <si>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</si>
  <si>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</si>
  <si>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</si>
  <si>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</si>
  <si>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</si>
  <si>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</si>
  <si>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 xml:space="preserve"> - Storfe</t>
  </si>
  <si>
    <t xml:space="preserve"> - Sau/lam</t>
  </si>
  <si>
    <t xml:space="preserve"> - Geit</t>
  </si>
  <si>
    <t xml:space="preserve"> - Hest </t>
  </si>
  <si>
    <t>Matkorn (hvete)</t>
  </si>
  <si>
    <t>Matkorn (rug)</t>
  </si>
  <si>
    <t>Bygg</t>
  </si>
  <si>
    <t>0 %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</si>
  <si>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</si>
  <si>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</si>
  <si>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</si>
  <si>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</si>
  <si>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</si>
  <si>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Bevaringsverdige husdyrraser:</t>
  </si>
  <si>
    <t>Omsatt mengde frukt kl1</t>
  </si>
  <si>
    <t>0,00 kr/kg</t>
  </si>
  <si>
    <t xml:space="preserve">Distriktstilskudd melk </t>
  </si>
  <si>
    <t>Distriktstilskudd kjøtt</t>
  </si>
  <si>
    <t>Tilskudd lammeslakt</t>
  </si>
  <si>
    <t>Driftstilskudd melk</t>
  </si>
  <si>
    <t>Antall</t>
  </si>
  <si>
    <t>Kyr, storfe, hest på beite (Minst16/12 uker)</t>
  </si>
  <si>
    <t>Sau, lam, geit på beite (Minst 16/12 uker)</t>
  </si>
  <si>
    <t>3 øre/liter</t>
  </si>
  <si>
    <t>Beitetilskudd/Utmarksbeitetilskudd</t>
  </si>
  <si>
    <t>Antall lammeslakt klasse 0+ eller bedre</t>
  </si>
  <si>
    <t>Driftskostnader (Variable + Faste)                           ekskl. kraftfôr og leid hjelp</t>
  </si>
  <si>
    <t>Driftstilskudd ammeku</t>
  </si>
  <si>
    <t>2) Følgende større elementer er ikke tatt med i utslagsberegningene:</t>
  </si>
  <si>
    <t>Utslag i 2019</t>
  </si>
  <si>
    <t>0-10 øre/kg</t>
  </si>
  <si>
    <t>25 øre/kg</t>
  </si>
  <si>
    <t>3 %</t>
  </si>
  <si>
    <t>1 %</t>
  </si>
  <si>
    <t>Er du i distriktsone melk sone C, D eller E?</t>
  </si>
  <si>
    <t>Er du i distriktsone melk sone F, G, H, I eller J?</t>
  </si>
  <si>
    <t>Er du i distriktsone kjøtt sone 2 eller 3?</t>
  </si>
  <si>
    <t>1-14 dyr</t>
  </si>
  <si>
    <t>15-30 dyr</t>
  </si>
  <si>
    <t>31-50 dyr</t>
  </si>
  <si>
    <t>Sau født foregående år</t>
  </si>
  <si>
    <t>Bunnfradrag</t>
  </si>
  <si>
    <t>Rentekostnader</t>
  </si>
  <si>
    <t>Gjeld</t>
  </si>
  <si>
    <t xml:space="preserve"> * Økte investeringstilskudd med 75 mill. kr </t>
  </si>
  <si>
    <t xml:space="preserve"> * Økt dagsats sykeavløsning med 115 kr/dag </t>
  </si>
  <si>
    <r>
      <t>SUM UTSLAG 2019</t>
    </r>
    <r>
      <rPr>
        <b/>
        <sz val="11"/>
        <color indexed="10"/>
        <rFont val="Arial"/>
        <family val="2"/>
      </rPr>
      <t xml:space="preserve"> 2)</t>
    </r>
  </si>
  <si>
    <t>SUM UTSLAG 2019 ETTER KOSTNADSDEKKING</t>
  </si>
  <si>
    <t>Bruttoinntekter av frukt og grønt</t>
  </si>
  <si>
    <t>Nytt tilskudd små og mellomstore melkebruk</t>
  </si>
  <si>
    <t>3,0 øre/kg</t>
  </si>
  <si>
    <t xml:space="preserve"> * Økt bevilgning til RMP. Bl.a 30 mill. kr øremerket bratt areal og 8 mill. kr til seterdrift</t>
  </si>
  <si>
    <t>Inntektsutslag av Jordbruksavtalen 2018-2019</t>
  </si>
  <si>
    <t>Bygg, Havre og annet fôrkorn</t>
  </si>
  <si>
    <t>Matkorn, hvete og 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</si>
</sst>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%"/>
    <numFmt numFmtId="166" formatCode="0.000000"/>
  </numFmts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1" fillId="6" borderId="24" xfId="0" applyFont="1" applyFill="1" applyBorder="1" applyAlignment="1" applyProtection="1">
      <alignment horizontal="right"/>
    </xf>
    <xf numFmtId="3" fontId="21" fillId="6" borderId="25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5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6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7" xfId="0" applyFont="1" applyFill="1" applyBorder="1" applyProtection="1"/>
    <xf numFmtId="0" fontId="10" fillId="3" borderId="0" xfId="0" applyFont="1" applyFill="1" applyBorder="1" applyProtection="1"/>
    <xf numFmtId="0" fontId="11" fillId="3" borderId="27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7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8" xfId="0" applyFont="1" applyFill="1" applyBorder="1" applyProtection="1"/>
    <xf numFmtId="3" fontId="30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8" fillId="15" borderId="5" xfId="0" applyFont="1" applyFill="1" applyBorder="1" applyProtection="1"/>
    <xf numFmtId="3" fontId="32" fillId="15" borderId="16" xfId="0" applyNumberFormat="1" applyFont="1" applyFill="1" applyBorder="1" applyAlignment="1" applyProtection="1">
      <alignment horizontal="right"/>
    </xf>
    <xf numFmtId="0" fontId="34" fillId="15" borderId="5" xfId="0" applyFont="1" applyFill="1" applyBorder="1" applyProtection="1"/>
    <xf numFmtId="3" fontId="32" fillId="15" borderId="20" xfId="0" applyNumberFormat="1" applyFont="1" applyFill="1" applyBorder="1" applyAlignment="1" applyProtection="1">
      <alignment horizontal="right"/>
    </xf>
    <xf numFmtId="3" fontId="37" fillId="15" borderId="16" xfId="0" applyNumberFormat="1" applyFont="1" applyFill="1" applyBorder="1" applyProtection="1"/>
    <xf numFmtId="3" fontId="21" fillId="14" borderId="16" xfId="0" applyNumberFormat="1" applyFont="1" applyFill="1" applyBorder="1" applyProtection="1"/>
    <xf numFmtId="0" fontId="22" fillId="14" borderId="4" xfId="0" applyFont="1" applyFill="1" applyBorder="1" applyProtection="1"/>
    <xf numFmtId="3" fontId="21" fillId="14" borderId="29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165" fontId="2" fillId="13" borderId="0" xfId="0" applyNumberFormat="1" applyFont="1" applyFill="1" applyBorder="1" applyProtection="1"/>
    <xf numFmtId="0" fontId="39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40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7" xfId="0" applyFont="1" applyFill="1" applyBorder="1" applyProtection="1"/>
    <xf numFmtId="0" fontId="10" fillId="17" borderId="27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3" fillId="2" borderId="30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40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40" fillId="0" borderId="4" xfId="0" applyFont="1" applyBorder="1"/>
    <xf numFmtId="0" fontId="19" fillId="6" borderId="32" xfId="0" applyFont="1" applyFill="1" applyBorder="1" applyProtection="1"/>
    <xf numFmtId="0" fontId="10" fillId="12" borderId="7" xfId="0" applyFont="1" applyFill="1" applyBorder="1" applyProtection="1"/>
    <xf numFmtId="0" fontId="10" fillId="12" borderId="2" xfId="0" applyFont="1" applyFill="1" applyBorder="1" applyProtection="1"/>
    <xf numFmtId="0" fontId="32" fillId="15" borderId="12" xfId="0" applyFont="1" applyFill="1" applyBorder="1" applyProtection="1"/>
    <xf numFmtId="0" fontId="10" fillId="12" borderId="2" xfId="0" applyFont="1" applyFill="1" applyBorder="1" applyAlignment="1" applyProtection="1"/>
    <xf numFmtId="0" fontId="21" fillId="14" borderId="7" xfId="0" applyFont="1" applyFill="1" applyBorder="1" applyProtection="1"/>
    <xf numFmtId="0" fontId="36" fillId="11" borderId="0" xfId="0" applyFont="1" applyFill="1" applyBorder="1" applyProtection="1"/>
    <xf numFmtId="0" fontId="36" fillId="11" borderId="1" xfId="0" applyFont="1" applyFill="1" applyBorder="1" applyProtection="1"/>
    <xf numFmtId="0" fontId="31" fillId="12" borderId="2" xfId="0" applyFont="1" applyFill="1" applyBorder="1" applyProtection="1"/>
    <xf numFmtId="0" fontId="21" fillId="14" borderId="5" xfId="0" applyFont="1" applyFill="1" applyBorder="1" applyProtection="1"/>
    <xf numFmtId="0" fontId="23" fillId="2" borderId="0" xfId="0" applyFont="1" applyFill="1" applyBorder="1" applyProtection="1"/>
    <xf numFmtId="0" fontId="23" fillId="2" borderId="15" xfId="0" applyFont="1" applyFill="1" applyBorder="1" applyProtection="1"/>
    <xf numFmtId="0" fontId="27" fillId="3" borderId="23" xfId="0" applyFont="1" applyFill="1" applyBorder="1" applyProtection="1"/>
    <xf numFmtId="0" fontId="10" fillId="3" borderId="18" xfId="0" applyFont="1" applyFill="1" applyBorder="1" applyProtection="1"/>
    <xf numFmtId="0" fontId="27" fillId="3" borderId="29" xfId="0" applyFont="1" applyFill="1" applyBorder="1" applyProtection="1"/>
    <xf numFmtId="0" fontId="11" fillId="3" borderId="29" xfId="0" applyFont="1" applyFill="1" applyBorder="1" applyProtection="1"/>
    <xf numFmtId="0" fontId="11" fillId="17" borderId="22" xfId="0" applyFont="1" applyFill="1" applyBorder="1" applyProtection="1"/>
    <xf numFmtId="3" fontId="10" fillId="3" borderId="0" xfId="0" applyNumberFormat="1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0" fontId="10" fillId="12" borderId="33" xfId="0" applyFont="1" applyFill="1" applyBorder="1" applyProtection="1"/>
    <xf numFmtId="49" fontId="10" fillId="13" borderId="1" xfId="0" applyNumberFormat="1" applyFont="1" applyFill="1" applyBorder="1" applyAlignment="1" applyProtection="1">
      <alignment horizontal="right"/>
    </xf>
    <xf numFmtId="0" fontId="10" fillId="13" borderId="20" xfId="0" applyNumberFormat="1" applyFont="1" applyFill="1" applyBorder="1" applyAlignment="1" applyProtection="1">
      <alignment horizontal="right"/>
    </xf>
    <xf numFmtId="0" fontId="10" fillId="17" borderId="30" xfId="0" applyFont="1" applyFill="1" applyBorder="1" applyAlignment="1" applyProtection="1">
      <alignment horizontal="left" vertical="top" wrapText="1"/>
    </xf>
    <xf numFmtId="0" fontId="5" fillId="6" borderId="18" xfId="0" applyFont="1" applyFill="1" applyBorder="1" applyAlignment="1" applyProtection="1">
      <alignment horizontal="right"/>
    </xf>
    <xf numFmtId="0" fontId="43" fillId="3" borderId="27" xfId="0" applyFont="1" applyFill="1" applyBorder="1" applyProtection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Border="1"/>
    <xf numFmtId="0" fontId="13" fillId="6" borderId="31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IF((Satser!L2+Satser!L3*0.6)&lt;200,(Satser!L2+Satser!L3*0.6),200)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F664"/>
  <sheetViews>
    <sheetView tabSelected="1" zoomScale="120" zoomScaleNormal="120" workbookViewId="0">
      <selection activeCell="B20" sqref="B20"/>
    </sheetView>
  </sheetViews>
  <sheetFormatPr baseColWidth="10" defaultColWidth="9.140625" defaultRowHeight="12.75" x14ac:dyDescent="0.2"/>
  <cols>
    <col min="1" max="1" width="49.5703125" style="164" customWidth="1"/>
    <col min="2" max="2" width="11.140625" style="164" customWidth="1"/>
    <col min="3" max="3" width="9.85546875" style="164" customWidth="1"/>
    <col min="4" max="4" width="50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298</v>
      </c>
      <c r="B1" s="121"/>
      <c r="C1" s="121"/>
      <c r="D1" s="235"/>
    </row>
    <row r="2" spans="1:8" ht="13.5" customHeight="1" thickBot="1" x14ac:dyDescent="0.25">
      <c r="A2" s="123"/>
      <c r="B2" s="123"/>
      <c r="C2" s="123"/>
      <c r="D2" s="124"/>
      <c r="E2" s="124"/>
      <c r="F2" s="161"/>
    </row>
    <row r="3" spans="1:8" ht="20.25" customHeight="1" thickBot="1" x14ac:dyDescent="0.35">
      <c r="A3" s="119" t="s">
        <v>122</v>
      </c>
      <c r="B3" s="120"/>
      <c r="C3" s="120"/>
      <c r="D3" s="184" t="s">
        <v>257</v>
      </c>
      <c r="E3" s="329" t="s">
        <v>275</v>
      </c>
      <c r="F3" s="330"/>
      <c r="G3" s="331" t="s">
        <v>140</v>
      </c>
      <c r="H3" s="332"/>
    </row>
    <row r="4" spans="1:8" ht="16.5" customHeight="1" x14ac:dyDescent="0.25">
      <c r="A4" s="190" t="s">
        <v>160</v>
      </c>
      <c r="B4" s="191">
        <v>1</v>
      </c>
      <c r="C4" s="314"/>
      <c r="D4" s="302"/>
      <c r="E4" s="176" t="s">
        <v>190</v>
      </c>
      <c r="F4" s="177" t="s">
        <v>194</v>
      </c>
      <c r="G4" s="126"/>
      <c r="H4" s="125" t="s">
        <v>1</v>
      </c>
    </row>
    <row r="5" spans="1:8" ht="16.5" customHeight="1" x14ac:dyDescent="0.25">
      <c r="A5" s="326" t="str">
        <f>IF(B4=5,"Rogaland, Hordaland, Sogn- og Fjordane eller Møre og Romsdal?","")</f>
        <v/>
      </c>
      <c r="B5" s="195"/>
      <c r="C5" s="315"/>
      <c r="D5" s="303" t="s">
        <v>198</v>
      </c>
      <c r="E5" s="208" t="s">
        <v>269</v>
      </c>
      <c r="F5" s="209">
        <f>(B13+B14)*Satser!C211</f>
        <v>0</v>
      </c>
      <c r="G5" s="253"/>
      <c r="H5" s="325"/>
    </row>
    <row r="6" spans="1:8" ht="16.5" customHeight="1" x14ac:dyDescent="0.25">
      <c r="A6" s="192" t="s">
        <v>199</v>
      </c>
      <c r="B6" s="193"/>
      <c r="C6" s="315"/>
      <c r="D6" s="304" t="s">
        <v>79</v>
      </c>
      <c r="E6" s="210" t="s">
        <v>261</v>
      </c>
      <c r="F6" s="209">
        <f>B16*Satser!C213</f>
        <v>0</v>
      </c>
      <c r="G6" s="129">
        <v>0.09</v>
      </c>
      <c r="H6" s="130">
        <f>(B13+B14)*G6</f>
        <v>0</v>
      </c>
    </row>
    <row r="7" spans="1:8" ht="16.5" customHeight="1" x14ac:dyDescent="0.25">
      <c r="A7" s="194" t="s">
        <v>241</v>
      </c>
      <c r="B7" s="195" t="s">
        <v>213</v>
      </c>
      <c r="C7" s="315"/>
      <c r="D7" s="304" t="s">
        <v>51</v>
      </c>
      <c r="E7" s="210" t="s">
        <v>276</v>
      </c>
      <c r="F7" s="209">
        <f>($B$19*Satser!$C$216)+(Utslag!$B$21*Satser!$C$221)+(Utslag!$B$20*Satser!$C$219)</f>
        <v>0</v>
      </c>
      <c r="G7" s="129"/>
      <c r="H7" s="130"/>
    </row>
    <row r="8" spans="1:8" ht="16.5" customHeight="1" x14ac:dyDescent="0.25">
      <c r="A8" s="194" t="s">
        <v>280</v>
      </c>
      <c r="B8" s="195" t="s">
        <v>213</v>
      </c>
      <c r="C8" s="315"/>
      <c r="D8" s="304" t="s">
        <v>38</v>
      </c>
      <c r="E8" s="210" t="s">
        <v>277</v>
      </c>
      <c r="F8" s="209">
        <f>B24*Satser!C223</f>
        <v>0</v>
      </c>
      <c r="G8" s="129"/>
      <c r="H8" s="130"/>
    </row>
    <row r="9" spans="1:8" ht="16.5" customHeight="1" x14ac:dyDescent="0.25">
      <c r="A9" s="194" t="s">
        <v>281</v>
      </c>
      <c r="B9" s="195" t="s">
        <v>213</v>
      </c>
      <c r="C9" s="315"/>
      <c r="D9" s="321" t="s">
        <v>256</v>
      </c>
      <c r="E9" s="322" t="s">
        <v>278</v>
      </c>
      <c r="F9" s="323">
        <f>B27*0.022</f>
        <v>0</v>
      </c>
      <c r="G9" s="129"/>
      <c r="H9" s="130"/>
    </row>
    <row r="10" spans="1:8" ht="17.25" customHeight="1" x14ac:dyDescent="0.25">
      <c r="A10" s="194" t="s">
        <v>282</v>
      </c>
      <c r="B10" s="195" t="s">
        <v>213</v>
      </c>
      <c r="C10" s="315"/>
      <c r="D10" s="304" t="s">
        <v>207</v>
      </c>
      <c r="E10" s="210" t="s">
        <v>279</v>
      </c>
      <c r="F10" s="209">
        <f>60*E10*B15</f>
        <v>0</v>
      </c>
      <c r="G10" s="129">
        <v>2</v>
      </c>
      <c r="H10" s="130" t="e">
        <f>#REF!*G10</f>
        <v>#REF!</v>
      </c>
    </row>
    <row r="11" spans="1:8" ht="17.25" customHeight="1" x14ac:dyDescent="0.25">
      <c r="A11" s="194"/>
      <c r="B11" s="195"/>
      <c r="C11" s="315"/>
      <c r="D11" s="304" t="s">
        <v>209</v>
      </c>
      <c r="E11" s="210" t="s">
        <v>253</v>
      </c>
      <c r="F11" s="209">
        <f>64.6*E11*B17</f>
        <v>0</v>
      </c>
      <c r="G11" s="129"/>
      <c r="H11" s="130"/>
    </row>
    <row r="12" spans="1:8" ht="15.75" customHeight="1" x14ac:dyDescent="0.25">
      <c r="A12" s="194" t="s">
        <v>67</v>
      </c>
      <c r="B12" s="193"/>
      <c r="C12" s="315"/>
      <c r="D12" s="304" t="s">
        <v>210</v>
      </c>
      <c r="E12" s="210" t="s">
        <v>279</v>
      </c>
      <c r="F12" s="209">
        <f>18.8*E12*B22</f>
        <v>0</v>
      </c>
      <c r="G12" s="129">
        <v>0.02</v>
      </c>
      <c r="H12" s="130">
        <f>B19*G12</f>
        <v>0</v>
      </c>
    </row>
    <row r="13" spans="1:8" ht="15.75" customHeight="1" x14ac:dyDescent="0.25">
      <c r="A13" s="199" t="s">
        <v>13</v>
      </c>
      <c r="B13" s="237"/>
      <c r="C13" s="196" t="s">
        <v>14</v>
      </c>
      <c r="D13" s="304" t="s">
        <v>258</v>
      </c>
      <c r="E13" s="210" t="s">
        <v>253</v>
      </c>
      <c r="F13" s="211">
        <f>25.01*E13*B23</f>
        <v>0</v>
      </c>
      <c r="G13" s="129">
        <v>0.02</v>
      </c>
      <c r="H13" s="130" t="e">
        <f>#REF!*G13</f>
        <v>#REF!</v>
      </c>
    </row>
    <row r="14" spans="1:8" ht="15.75" customHeight="1" x14ac:dyDescent="0.25">
      <c r="A14" s="199" t="s">
        <v>15</v>
      </c>
      <c r="B14" s="237"/>
      <c r="C14" s="196" t="s">
        <v>14</v>
      </c>
      <c r="D14" s="305" t="s">
        <v>206</v>
      </c>
      <c r="E14" s="220"/>
      <c r="F14" s="221">
        <f>SUM(F5:F13)</f>
        <v>0</v>
      </c>
      <c r="G14" s="129"/>
      <c r="H14" s="130"/>
    </row>
    <row r="15" spans="1:8" ht="15.75" customHeight="1" x14ac:dyDescent="0.25">
      <c r="A15" s="199" t="s">
        <v>138</v>
      </c>
      <c r="B15" s="237"/>
      <c r="C15" s="196" t="s">
        <v>2</v>
      </c>
      <c r="D15" s="304" t="s">
        <v>264</v>
      </c>
      <c r="E15" s="210"/>
      <c r="F15" s="209">
        <f>B18*(-50)</f>
        <v>0</v>
      </c>
      <c r="G15" s="129"/>
      <c r="H15" s="130"/>
    </row>
    <row r="16" spans="1:8" ht="15.75" customHeight="1" x14ac:dyDescent="0.25">
      <c r="A16" s="199" t="s">
        <v>165</v>
      </c>
      <c r="B16" s="237"/>
      <c r="C16" s="196" t="s">
        <v>2</v>
      </c>
      <c r="D16" s="304" t="s">
        <v>262</v>
      </c>
      <c r="E16" s="210"/>
      <c r="F16" s="209">
        <f>IF($B$8= "Ja",0.06*(B13+B14),0)+IF($B$9="Ja",0.02*(B13+B14),0)</f>
        <v>0</v>
      </c>
      <c r="G16" s="129">
        <v>0.25</v>
      </c>
      <c r="H16" s="130">
        <f>B22*G16</f>
        <v>0</v>
      </c>
    </row>
    <row r="17" spans="1:8" ht="15.75" customHeight="1" x14ac:dyDescent="0.25">
      <c r="A17" s="199" t="s">
        <v>166</v>
      </c>
      <c r="B17" s="237"/>
      <c r="C17" s="196" t="s">
        <v>2</v>
      </c>
      <c r="D17" s="304" t="s">
        <v>263</v>
      </c>
      <c r="E17" s="210"/>
      <c r="F17" s="209">
        <f>IF($B$10="Ja",0.3*(B15+B17),0)+IF($B$4&gt;5,0.1*(B15+B17),0)+(IF(B4=6,0.2*B17,0)+IF(B4=7,0.2*B17,0))</f>
        <v>0</v>
      </c>
      <c r="G17" s="135">
        <v>4.5999999999999999E-2</v>
      </c>
      <c r="H17" s="136">
        <f>B27*G17</f>
        <v>0</v>
      </c>
    </row>
    <row r="18" spans="1:8" ht="15.75" customHeight="1" x14ac:dyDescent="0.25">
      <c r="A18" s="199" t="s">
        <v>271</v>
      </c>
      <c r="B18" s="237"/>
      <c r="C18" s="196" t="s">
        <v>266</v>
      </c>
      <c r="D18" s="304" t="s">
        <v>254</v>
      </c>
      <c r="E18" s="210"/>
      <c r="F18" s="209">
        <f>Satser!$N$36</f>
        <v>0</v>
      </c>
      <c r="G18" s="135"/>
      <c r="H18" s="136"/>
    </row>
    <row r="19" spans="1:8" ht="15.75" customHeight="1" x14ac:dyDescent="0.25">
      <c r="A19" s="199" t="s">
        <v>300</v>
      </c>
      <c r="B19" s="237"/>
      <c r="C19" s="196" t="s">
        <v>2</v>
      </c>
      <c r="D19" s="304" t="s">
        <v>223</v>
      </c>
      <c r="E19" s="212"/>
      <c r="F19" s="209">
        <f>IF($B$4="","Sone mangler",Satser!E20)+(B29*0*Satser!K18)+(IF($B$5="Ja",35*(B30+B29*0.6)))</f>
        <v>0</v>
      </c>
      <c r="G19" s="126"/>
      <c r="H19" s="137" t="e">
        <f>SUM(H6:H17)</f>
        <v>#REF!</v>
      </c>
    </row>
    <row r="20" spans="1:8" ht="15.75" customHeight="1" x14ac:dyDescent="0.25">
      <c r="A20" s="199" t="s">
        <v>299</v>
      </c>
      <c r="B20" s="237"/>
      <c r="C20" s="196" t="s">
        <v>2</v>
      </c>
      <c r="D20" s="304" t="s">
        <v>66</v>
      </c>
      <c r="E20" s="213" t="str">
        <f>IF(Satser!C73&gt;0,"Toppavgrensing",IF(Satser!C74&gt;0,"Toppavgrensing",IF(Satser!C75&gt;0,"Toppavgr.før, ikke nå","")))</f>
        <v/>
      </c>
      <c r="F20" s="209">
        <f>Satser!C76</f>
        <v>0</v>
      </c>
      <c r="G20" s="253"/>
      <c r="H20" s="254"/>
    </row>
    <row r="21" spans="1:8" ht="15.75" customHeight="1" x14ac:dyDescent="0.25">
      <c r="A21" s="199" t="s">
        <v>69</v>
      </c>
      <c r="B21" s="237"/>
      <c r="C21" s="196" t="s">
        <v>2</v>
      </c>
      <c r="D21" s="304" t="s">
        <v>295</v>
      </c>
      <c r="E21" s="213"/>
      <c r="F21" s="209">
        <f>IF(B37&lt;6,0,IF(B37&lt;23,B37*1400,IF(B37&lt;51,32200-(1150*(B37-23)),0)))</f>
        <v>0</v>
      </c>
      <c r="G21" s="253"/>
      <c r="H21" s="254"/>
    </row>
    <row r="22" spans="1:8" ht="15.75" customHeight="1" x14ac:dyDescent="0.25">
      <c r="A22" s="199" t="s">
        <v>80</v>
      </c>
      <c r="B22" s="237"/>
      <c r="C22" s="196" t="s">
        <v>2</v>
      </c>
      <c r="D22" s="304" t="s">
        <v>157</v>
      </c>
      <c r="E22" s="214"/>
      <c r="F22" s="209">
        <f>Satser!I176</f>
        <v>0</v>
      </c>
      <c r="G22" s="139" t="s">
        <v>149</v>
      </c>
      <c r="H22" s="130" t="e">
        <f>0*'Ark18'!C20+0*#REF!-#REF!*63+#REF!*0</f>
        <v>#REF!</v>
      </c>
    </row>
    <row r="23" spans="1:8" ht="15.75" customHeight="1" x14ac:dyDescent="0.25">
      <c r="A23" s="199" t="s">
        <v>202</v>
      </c>
      <c r="B23" s="237"/>
      <c r="C23" s="196" t="s">
        <v>2</v>
      </c>
      <c r="D23" s="304" t="s">
        <v>224</v>
      </c>
      <c r="E23" s="214"/>
      <c r="F23" s="209">
        <f>Satser!C135</f>
        <v>0</v>
      </c>
      <c r="G23" s="139"/>
      <c r="H23" s="130"/>
    </row>
    <row r="24" spans="1:8" ht="15.75" customHeight="1" x14ac:dyDescent="0.25">
      <c r="A24" s="199" t="s">
        <v>61</v>
      </c>
      <c r="B24" s="237"/>
      <c r="C24" s="196" t="s">
        <v>2</v>
      </c>
      <c r="D24" s="304" t="s">
        <v>72</v>
      </c>
      <c r="E24" s="214"/>
      <c r="F24" s="209">
        <f>IF(B37=0,0,IF(B37&gt;4,Satser!$M$41,Satser!$M$41/5*B37))+IF(B40=0,0,IF(B40&gt;27,15000,15000/27*B40))+IF(B38&gt;40,Satser!$M$47,IF(B38&lt;6,0,B38*Satser!$M$47/40))</f>
        <v>0</v>
      </c>
      <c r="G24" s="138">
        <v>7</v>
      </c>
      <c r="H24" s="130" t="e">
        <f>('Ark18'!C8+'Ark18'!C9+(B29*0.6)+B30+#REF!+'Ark18'!C6+'Ark18'!C7)*G24</f>
        <v>#REF!</v>
      </c>
    </row>
    <row r="25" spans="1:8" ht="15.75" customHeight="1" x14ac:dyDescent="0.25">
      <c r="A25" s="199" t="s">
        <v>260</v>
      </c>
      <c r="B25" s="237"/>
      <c r="C25" s="196" t="s">
        <v>2</v>
      </c>
      <c r="D25" s="304" t="s">
        <v>287</v>
      </c>
      <c r="E25" s="214"/>
      <c r="F25" s="209">
        <v>0</v>
      </c>
      <c r="G25" s="138"/>
      <c r="H25" s="130"/>
    </row>
    <row r="26" spans="1:8" ht="15.75" customHeight="1" x14ac:dyDescent="0.25">
      <c r="A26" s="199" t="s">
        <v>255</v>
      </c>
      <c r="B26" s="237"/>
      <c r="C26" s="196" t="s">
        <v>2</v>
      </c>
      <c r="D26" s="306" t="s">
        <v>270</v>
      </c>
      <c r="E26" s="210"/>
      <c r="F26" s="209">
        <f>B50*50+B51*10+B48*20+B49*0</f>
        <v>0</v>
      </c>
      <c r="G26" s="138"/>
      <c r="H26" s="130"/>
    </row>
    <row r="27" spans="1:8" ht="15.75" customHeight="1" x14ac:dyDescent="0.25">
      <c r="A27" s="200" t="s">
        <v>294</v>
      </c>
      <c r="B27" s="236"/>
      <c r="C27" s="198" t="s">
        <v>54</v>
      </c>
      <c r="D27" s="305" t="s">
        <v>133</v>
      </c>
      <c r="E27" s="218"/>
      <c r="F27" s="219">
        <f>SUM(F15:F26)</f>
        <v>0</v>
      </c>
      <c r="G27" s="138"/>
      <c r="H27" s="130" t="e">
        <f>tilbud!E37</f>
        <v>#REF!</v>
      </c>
    </row>
    <row r="28" spans="1:8" ht="15.75" customHeight="1" x14ac:dyDescent="0.25">
      <c r="A28" s="202" t="s">
        <v>49</v>
      </c>
      <c r="B28" s="203"/>
      <c r="C28" s="316"/>
      <c r="D28" s="307" t="s">
        <v>292</v>
      </c>
      <c r="E28" s="224"/>
      <c r="F28" s="225">
        <f>F27+F14</f>
        <v>0</v>
      </c>
      <c r="G28" s="141" t="e">
        <f>IF(tilbud!C204&gt;0,"Toppavgrensing",IF(tilbud!C205&gt;0,"Toppavgrensing",IF(tilbud!C206&gt;0,"Toppavgr.før, ikke nå","")))</f>
        <v>#REF!</v>
      </c>
      <c r="H28" s="130" t="e">
        <f>IF(tilbud!$C$207=0,tilbud!$D$210,tilbud!$C$207)</f>
        <v>#REF!</v>
      </c>
    </row>
    <row r="29" spans="1:8" ht="19.5" customHeight="1" x14ac:dyDescent="0.25">
      <c r="A29" s="199" t="s">
        <v>70</v>
      </c>
      <c r="B29" s="238"/>
      <c r="C29" s="196" t="s">
        <v>3</v>
      </c>
      <c r="D29" s="308" t="s">
        <v>203</v>
      </c>
      <c r="E29" s="186"/>
      <c r="F29" s="187"/>
      <c r="G29" s="144">
        <v>0.02</v>
      </c>
      <c r="H29" s="145">
        <f>G29*'Ark18'!C22</f>
        <v>0</v>
      </c>
    </row>
    <row r="30" spans="1:8" ht="18" customHeight="1" x14ac:dyDescent="0.25">
      <c r="A30" s="199" t="s">
        <v>71</v>
      </c>
      <c r="B30" s="238"/>
      <c r="C30" s="196" t="s">
        <v>3</v>
      </c>
      <c r="D30" s="309" t="s">
        <v>205</v>
      </c>
      <c r="E30" s="188"/>
      <c r="F30" s="189"/>
      <c r="G30" s="147"/>
      <c r="H30" s="146" t="e">
        <f>H117+H19-H29</f>
        <v>#REF!</v>
      </c>
    </row>
    <row r="31" spans="1:8" ht="18" customHeight="1" x14ac:dyDescent="0.25">
      <c r="A31" s="199" t="s">
        <v>48</v>
      </c>
      <c r="B31" s="238"/>
      <c r="C31" s="196" t="s">
        <v>3</v>
      </c>
      <c r="D31" s="310" t="s">
        <v>216</v>
      </c>
      <c r="E31" s="215"/>
      <c r="F31" s="216"/>
      <c r="G31" s="259"/>
      <c r="H31" s="260"/>
    </row>
    <row r="32" spans="1:8" ht="18" customHeight="1" x14ac:dyDescent="0.25">
      <c r="A32" s="199" t="s">
        <v>50</v>
      </c>
      <c r="B32" s="238"/>
      <c r="C32" s="196" t="s">
        <v>3</v>
      </c>
      <c r="D32" s="304" t="s">
        <v>215</v>
      </c>
      <c r="E32" s="255" t="s">
        <v>296</v>
      </c>
      <c r="F32" s="256">
        <f>0.03*B58</f>
        <v>0</v>
      </c>
      <c r="G32" s="259"/>
      <c r="H32" s="260"/>
    </row>
    <row r="33" spans="1:12" ht="18" customHeight="1" x14ac:dyDescent="0.25">
      <c r="A33" s="199" t="s">
        <v>62</v>
      </c>
      <c r="B33" s="238"/>
      <c r="C33" s="196" t="s">
        <v>3</v>
      </c>
      <c r="D33" s="304" t="s">
        <v>288</v>
      </c>
      <c r="E33" s="327">
        <v>4.0000000000000001E-3</v>
      </c>
      <c r="F33" s="256">
        <f>E33*B59</f>
        <v>0</v>
      </c>
      <c r="G33" s="259"/>
      <c r="H33" s="260"/>
    </row>
    <row r="34" spans="1:12" ht="18" customHeight="1" x14ac:dyDescent="0.25">
      <c r="A34" s="199" t="s">
        <v>230</v>
      </c>
      <c r="B34" s="238"/>
      <c r="C34" s="196" t="s">
        <v>3</v>
      </c>
      <c r="D34" s="304" t="s">
        <v>228</v>
      </c>
      <c r="E34" s="234">
        <v>1.6E-2</v>
      </c>
      <c r="F34" s="226">
        <f>B60*0.016</f>
        <v>0</v>
      </c>
      <c r="G34" s="259"/>
      <c r="H34" s="260"/>
    </row>
    <row r="35" spans="1:12" ht="18" customHeight="1" x14ac:dyDescent="0.25">
      <c r="A35" s="199" t="s">
        <v>141</v>
      </c>
      <c r="B35" s="238"/>
      <c r="C35" s="196" t="s">
        <v>3</v>
      </c>
      <c r="D35" s="305" t="s">
        <v>204</v>
      </c>
      <c r="E35" s="218"/>
      <c r="F35" s="222">
        <f>F34+F32+F33</f>
        <v>0</v>
      </c>
      <c r="G35" s="259"/>
      <c r="H35" s="260"/>
    </row>
    <row r="36" spans="1:12" ht="18.75" customHeight="1" x14ac:dyDescent="0.25">
      <c r="A36" s="202" t="s">
        <v>68</v>
      </c>
      <c r="B36" s="204"/>
      <c r="C36" s="317"/>
      <c r="D36" s="311" t="s">
        <v>293</v>
      </c>
      <c r="E36" s="217"/>
      <c r="F36" s="223">
        <f>F28-F35</f>
        <v>0</v>
      </c>
      <c r="G36" s="149"/>
      <c r="H36" s="150"/>
    </row>
    <row r="37" spans="1:12" ht="17.25" customHeight="1" x14ac:dyDescent="0.25">
      <c r="A37" s="199" t="s">
        <v>4</v>
      </c>
      <c r="B37" s="237"/>
      <c r="C37" s="196" t="s">
        <v>5</v>
      </c>
      <c r="D37" s="312" t="s">
        <v>64</v>
      </c>
      <c r="E37" s="124"/>
      <c r="F37" s="173"/>
      <c r="G37" s="124"/>
      <c r="H37" s="151"/>
      <c r="J37" s="121"/>
      <c r="K37" s="121"/>
      <c r="L37" s="121"/>
    </row>
    <row r="38" spans="1:12" ht="15.75" customHeight="1" x14ac:dyDescent="0.25">
      <c r="A38" s="199" t="s">
        <v>188</v>
      </c>
      <c r="B38" s="237"/>
      <c r="C38" s="196" t="s">
        <v>5</v>
      </c>
      <c r="D38" s="312" t="s">
        <v>274</v>
      </c>
      <c r="F38" s="162"/>
      <c r="G38" s="124"/>
      <c r="H38" s="151"/>
    </row>
    <row r="39" spans="1:12" ht="18" customHeight="1" x14ac:dyDescent="0.25">
      <c r="A39" s="199" t="s">
        <v>6</v>
      </c>
      <c r="B39" s="237"/>
      <c r="C39" s="196" t="s">
        <v>5</v>
      </c>
      <c r="D39" s="312" t="s">
        <v>290</v>
      </c>
      <c r="E39" s="148"/>
      <c r="F39" s="162"/>
      <c r="G39" s="124"/>
      <c r="H39" s="151"/>
    </row>
    <row r="40" spans="1:12" ht="18" customHeight="1" x14ac:dyDescent="0.25">
      <c r="A40" s="199" t="s">
        <v>65</v>
      </c>
      <c r="B40" s="237"/>
      <c r="C40" s="196" t="s">
        <v>5</v>
      </c>
      <c r="D40" s="312" t="s">
        <v>297</v>
      </c>
      <c r="E40" s="148"/>
      <c r="F40" s="162"/>
      <c r="G40" s="124"/>
      <c r="H40" s="151"/>
    </row>
    <row r="41" spans="1:12" ht="18" customHeight="1" x14ac:dyDescent="0.25">
      <c r="A41" s="199" t="s">
        <v>286</v>
      </c>
      <c r="B41" s="237"/>
      <c r="C41" s="196" t="s">
        <v>5</v>
      </c>
      <c r="D41" s="312" t="s">
        <v>291</v>
      </c>
      <c r="E41" s="148"/>
      <c r="F41" s="162"/>
      <c r="G41" s="124"/>
      <c r="H41" s="151"/>
    </row>
    <row r="42" spans="1:12" ht="18" customHeight="1" x14ac:dyDescent="0.25">
      <c r="A42" s="199" t="s">
        <v>10</v>
      </c>
      <c r="B42" s="237"/>
      <c r="C42" s="196" t="s">
        <v>5</v>
      </c>
      <c r="D42" s="312"/>
      <c r="E42" s="148"/>
      <c r="F42" s="162"/>
      <c r="G42" s="124"/>
      <c r="H42" s="151"/>
    </row>
    <row r="43" spans="1:12" ht="18" customHeight="1" thickBot="1" x14ac:dyDescent="0.3">
      <c r="A43" s="199" t="s">
        <v>11</v>
      </c>
      <c r="B43" s="237"/>
      <c r="C43" s="196" t="s">
        <v>5</v>
      </c>
      <c r="D43" s="313"/>
      <c r="E43" s="153"/>
      <c r="F43" s="252"/>
      <c r="G43" s="124"/>
      <c r="H43" s="151"/>
    </row>
    <row r="44" spans="1:12" ht="18" customHeight="1" x14ac:dyDescent="0.25">
      <c r="A44" s="199" t="s">
        <v>127</v>
      </c>
      <c r="B44" s="237"/>
      <c r="C44" s="196" t="s">
        <v>5</v>
      </c>
      <c r="G44" s="124"/>
      <c r="H44" s="151"/>
    </row>
    <row r="45" spans="1:12" ht="18" customHeight="1" x14ac:dyDescent="0.25">
      <c r="A45" s="199" t="s">
        <v>115</v>
      </c>
      <c r="B45" s="237"/>
      <c r="C45" s="196" t="s">
        <v>5</v>
      </c>
      <c r="G45" s="124"/>
      <c r="H45" s="151"/>
    </row>
    <row r="46" spans="1:12" ht="18" customHeight="1" x14ac:dyDescent="0.25">
      <c r="A46" s="199" t="s">
        <v>208</v>
      </c>
      <c r="B46" s="237"/>
      <c r="C46" s="196" t="s">
        <v>5</v>
      </c>
      <c r="G46" s="124"/>
      <c r="H46" s="151"/>
    </row>
    <row r="47" spans="1:12" ht="18" customHeight="1" x14ac:dyDescent="0.25">
      <c r="A47" s="200" t="s">
        <v>243</v>
      </c>
      <c r="B47" s="320"/>
      <c r="C47" s="198" t="s">
        <v>266</v>
      </c>
      <c r="G47" s="124"/>
      <c r="H47" s="151"/>
    </row>
    <row r="48" spans="1:12" ht="18" customHeight="1" x14ac:dyDescent="0.25">
      <c r="A48" s="199" t="s">
        <v>267</v>
      </c>
      <c r="B48" s="237"/>
      <c r="C48" s="196" t="s">
        <v>5</v>
      </c>
      <c r="G48" s="124"/>
      <c r="H48" s="151"/>
    </row>
    <row r="49" spans="1:8" ht="18" customHeight="1" x14ac:dyDescent="0.25">
      <c r="A49" s="200" t="s">
        <v>268</v>
      </c>
      <c r="B49" s="320"/>
      <c r="C49" s="198" t="s">
        <v>5</v>
      </c>
      <c r="G49" s="124"/>
      <c r="H49" s="151"/>
    </row>
    <row r="50" spans="1:8" ht="19.5" customHeight="1" x14ac:dyDescent="0.25">
      <c r="A50" s="199" t="s">
        <v>244</v>
      </c>
      <c r="B50" s="237"/>
      <c r="C50" s="196" t="s">
        <v>5</v>
      </c>
      <c r="G50" s="124"/>
      <c r="H50" s="151"/>
    </row>
    <row r="51" spans="1:8" ht="19.5" customHeight="1" x14ac:dyDescent="0.25">
      <c r="A51" s="200" t="s">
        <v>245</v>
      </c>
      <c r="B51" s="320"/>
      <c r="C51" s="198" t="s">
        <v>5</v>
      </c>
      <c r="G51" s="124"/>
      <c r="H51" s="151"/>
    </row>
    <row r="52" spans="1:8" ht="19.5" customHeight="1" x14ac:dyDescent="0.25">
      <c r="A52" s="194" t="s">
        <v>259</v>
      </c>
      <c r="B52" s="319"/>
      <c r="C52" s="196"/>
      <c r="G52" s="124"/>
      <c r="H52" s="151"/>
    </row>
    <row r="53" spans="1:8" ht="19.5" customHeight="1" x14ac:dyDescent="0.25">
      <c r="A53" s="199" t="s">
        <v>246</v>
      </c>
      <c r="B53" s="237"/>
      <c r="C53" s="196" t="s">
        <v>5</v>
      </c>
      <c r="G53" s="124"/>
      <c r="H53" s="151"/>
    </row>
    <row r="54" spans="1:8" ht="19.5" customHeight="1" x14ac:dyDescent="0.25">
      <c r="A54" s="199" t="s">
        <v>247</v>
      </c>
      <c r="B54" s="237"/>
      <c r="C54" s="196" t="s">
        <v>5</v>
      </c>
      <c r="G54" s="124"/>
      <c r="H54" s="151"/>
    </row>
    <row r="55" spans="1:8" ht="19.5" customHeight="1" x14ac:dyDescent="0.25">
      <c r="A55" s="199" t="s">
        <v>248</v>
      </c>
      <c r="B55" s="237"/>
      <c r="C55" s="196" t="s">
        <v>5</v>
      </c>
      <c r="G55" s="124"/>
      <c r="H55" s="151"/>
    </row>
    <row r="56" spans="1:8" ht="19.5" customHeight="1" x14ac:dyDescent="0.25">
      <c r="A56" s="200" t="s">
        <v>249</v>
      </c>
      <c r="B56" s="320"/>
      <c r="C56" s="198" t="s">
        <v>5</v>
      </c>
      <c r="G56" s="124"/>
      <c r="H56" s="151"/>
    </row>
    <row r="57" spans="1:8" ht="15.75" customHeight="1" x14ac:dyDescent="0.25">
      <c r="A57" s="241" t="s">
        <v>217</v>
      </c>
      <c r="B57" s="243"/>
      <c r="C57" s="244"/>
      <c r="G57" s="124"/>
      <c r="H57" s="151"/>
    </row>
    <row r="58" spans="1:8" ht="15.75" customHeight="1" x14ac:dyDescent="0.25">
      <c r="A58" s="242" t="s">
        <v>227</v>
      </c>
      <c r="B58" s="205"/>
      <c r="C58" s="244" t="s">
        <v>2</v>
      </c>
      <c r="G58" s="124"/>
      <c r="H58" s="151"/>
    </row>
    <row r="59" spans="1:8" ht="15.75" customHeight="1" x14ac:dyDescent="0.25">
      <c r="A59" s="242" t="s">
        <v>289</v>
      </c>
      <c r="B59" s="205"/>
      <c r="C59" s="244" t="s">
        <v>54</v>
      </c>
      <c r="G59" s="124"/>
      <c r="H59" s="151"/>
    </row>
    <row r="60" spans="1:8" ht="28.5" customHeight="1" thickBot="1" x14ac:dyDescent="0.3">
      <c r="A60" s="324" t="s">
        <v>272</v>
      </c>
      <c r="B60" s="240"/>
      <c r="C60" s="318" t="s">
        <v>201</v>
      </c>
      <c r="G60" s="124"/>
      <c r="H60" s="151"/>
    </row>
    <row r="61" spans="1:8" ht="15.75" customHeight="1" thickBot="1" x14ac:dyDescent="0.25">
      <c r="A61" s="245"/>
      <c r="B61" s="245"/>
      <c r="C61" s="245"/>
      <c r="G61" s="153"/>
      <c r="H61" s="154"/>
    </row>
    <row r="62" spans="1:8" ht="15.75" customHeight="1" x14ac:dyDescent="0.2">
      <c r="A62" s="245"/>
      <c r="B62" s="245"/>
      <c r="C62" s="245"/>
    </row>
    <row r="63" spans="1:8" x14ac:dyDescent="0.2">
      <c r="A63" s="245"/>
      <c r="B63" s="245"/>
      <c r="C63" s="245"/>
    </row>
    <row r="64" spans="1:8" x14ac:dyDescent="0.2">
      <c r="D64" s="164"/>
      <c r="E64" s="164"/>
      <c r="F64" s="164"/>
    </row>
    <row r="65" spans="4:6" x14ac:dyDescent="0.2">
      <c r="D65" s="164"/>
      <c r="E65" s="164"/>
      <c r="F65" s="164"/>
    </row>
    <row r="66" spans="4:6" x14ac:dyDescent="0.2">
      <c r="D66" s="164"/>
      <c r="E66" s="164"/>
      <c r="F66" s="164"/>
    </row>
    <row r="67" spans="4:6" x14ac:dyDescent="0.2">
      <c r="D67" s="164"/>
      <c r="E67" s="164"/>
      <c r="F67" s="164"/>
    </row>
    <row r="68" spans="4:6" x14ac:dyDescent="0.2">
      <c r="D68" s="164"/>
      <c r="E68" s="164"/>
      <c r="F68" s="164"/>
    </row>
    <row r="69" spans="4:6" x14ac:dyDescent="0.2">
      <c r="D69" s="164"/>
      <c r="E69" s="164"/>
      <c r="F69" s="164"/>
    </row>
    <row r="70" spans="4:6" x14ac:dyDescent="0.2">
      <c r="D70" s="164"/>
      <c r="E70" s="164"/>
      <c r="F70" s="164"/>
    </row>
    <row r="71" spans="4:6" x14ac:dyDescent="0.2">
      <c r="D71" s="164"/>
      <c r="E71" s="164"/>
      <c r="F71" s="164"/>
    </row>
    <row r="72" spans="4:6" x14ac:dyDescent="0.2">
      <c r="D72" s="164"/>
      <c r="E72" s="164"/>
      <c r="F72" s="164"/>
    </row>
    <row r="92" spans="6:6" s="174" customFormat="1" x14ac:dyDescent="0.2">
      <c r="F92" s="175"/>
    </row>
    <row r="107" spans="1:4" x14ac:dyDescent="0.2">
      <c r="A107" s="122"/>
      <c r="B107" s="122"/>
      <c r="C107" s="160"/>
    </row>
    <row r="111" spans="1:4" x14ac:dyDescent="0.2">
      <c r="D111" s="178"/>
    </row>
    <row r="114" spans="7:8" ht="17.25" customHeight="1" x14ac:dyDescent="0.2">
      <c r="G114" s="149"/>
      <c r="H114" s="150"/>
    </row>
    <row r="115" spans="7:8" ht="17.25" customHeight="1" x14ac:dyDescent="0.2">
      <c r="G115" s="152"/>
      <c r="H115" s="150"/>
    </row>
    <row r="116" spans="7:8" ht="15.75" customHeight="1" x14ac:dyDescent="0.2">
      <c r="G116" s="139"/>
      <c r="H116" s="130">
        <v>500</v>
      </c>
    </row>
    <row r="117" spans="7:8" ht="15.75" customHeight="1" x14ac:dyDescent="0.2">
      <c r="G117" s="143"/>
      <c r="H117" s="142" t="e">
        <f>SUM(H22:H116)</f>
        <v>#REF!</v>
      </c>
    </row>
    <row r="118" spans="7:8" ht="17.25" customHeight="1" x14ac:dyDescent="0.2">
      <c r="G118" s="124"/>
      <c r="H118" s="151"/>
    </row>
    <row r="124" spans="7:8" ht="17.25" customHeight="1" x14ac:dyDescent="0.2">
      <c r="G124" s="124"/>
      <c r="H124" s="151"/>
    </row>
    <row r="125" spans="7:8" ht="15.75" customHeight="1" x14ac:dyDescent="0.2">
      <c r="G125" s="124"/>
      <c r="H125" s="151"/>
    </row>
    <row r="126" spans="7:8" ht="15.75" customHeight="1" x14ac:dyDescent="0.2">
      <c r="G126" s="124"/>
      <c r="H126" s="151"/>
    </row>
    <row r="127" spans="7:8" ht="15.75" customHeight="1" x14ac:dyDescent="0.2">
      <c r="G127" s="124"/>
      <c r="H127" s="151"/>
    </row>
    <row r="128" spans="7:8" ht="15.75" customHeight="1" x14ac:dyDescent="0.2">
      <c r="G128" s="139" t="s">
        <v>164</v>
      </c>
      <c r="H128" s="130" t="e">
        <f>#REF!*0+#REF!*0</f>
        <v>#REF!</v>
      </c>
    </row>
    <row r="129" spans="1:8" ht="15.75" customHeight="1" x14ac:dyDescent="0.2">
      <c r="G129" s="124"/>
      <c r="H129" s="151"/>
    </row>
    <row r="130" spans="1:8" ht="15.75" customHeight="1" x14ac:dyDescent="0.2">
      <c r="G130" s="124"/>
      <c r="H130" s="151"/>
    </row>
    <row r="131" spans="1:8" ht="12.75" customHeight="1" x14ac:dyDescent="0.2">
      <c r="G131" s="129">
        <v>0</v>
      </c>
      <c r="H131" s="130" t="e">
        <f>#REF!*G131</f>
        <v>#REF!</v>
      </c>
    </row>
    <row r="132" spans="1:8" ht="16.5" customHeight="1" x14ac:dyDescent="0.2">
      <c r="G132" s="129">
        <v>-0.8</v>
      </c>
      <c r="H132" s="130">
        <f>B16*G132</f>
        <v>0</v>
      </c>
    </row>
    <row r="133" spans="1:8" ht="12.75" customHeight="1" x14ac:dyDescent="0.2">
      <c r="G133" s="129">
        <v>3</v>
      </c>
      <c r="H133" s="130">
        <f>B17*G133</f>
        <v>0</v>
      </c>
    </row>
    <row r="137" spans="1:8" x14ac:dyDescent="0.2">
      <c r="A137" s="245"/>
      <c r="B137" s="245"/>
      <c r="C137" s="245"/>
    </row>
    <row r="138" spans="1:8" x14ac:dyDescent="0.2">
      <c r="A138" s="245"/>
      <c r="B138" s="245"/>
      <c r="C138" s="245"/>
    </row>
    <row r="139" spans="1:8" x14ac:dyDescent="0.2">
      <c r="A139" s="245"/>
      <c r="B139" s="245"/>
      <c r="C139" s="245"/>
    </row>
    <row r="140" spans="1:8" x14ac:dyDescent="0.2">
      <c r="A140" s="245"/>
      <c r="B140" s="245"/>
      <c r="C140" s="245"/>
    </row>
    <row r="141" spans="1:8" x14ac:dyDescent="0.2">
      <c r="A141" s="245"/>
      <c r="B141" s="245"/>
      <c r="C141" s="245"/>
    </row>
    <row r="142" spans="1:8" x14ac:dyDescent="0.2">
      <c r="A142" s="245"/>
      <c r="B142" s="245"/>
      <c r="C142" s="245"/>
    </row>
    <row r="143" spans="1:8" x14ac:dyDescent="0.2">
      <c r="A143" s="245"/>
      <c r="B143" s="245"/>
      <c r="C143" s="245"/>
    </row>
    <row r="144" spans="1:8" x14ac:dyDescent="0.2">
      <c r="A144" s="245"/>
      <c r="B144" s="245"/>
      <c r="C144" s="245"/>
    </row>
    <row r="145" spans="1:3" x14ac:dyDescent="0.2">
      <c r="A145" s="245"/>
      <c r="B145" s="245"/>
      <c r="C145" s="245"/>
    </row>
    <row r="146" spans="1:3" x14ac:dyDescent="0.2">
      <c r="A146" s="245"/>
      <c r="B146" s="245"/>
      <c r="C146" s="245"/>
    </row>
    <row r="147" spans="1:3" x14ac:dyDescent="0.2">
      <c r="A147" s="245"/>
      <c r="B147" s="245"/>
      <c r="C147" s="245"/>
    </row>
    <row r="148" spans="1:3" x14ac:dyDescent="0.2">
      <c r="A148" s="245"/>
      <c r="B148" s="245"/>
      <c r="C148" s="245"/>
    </row>
    <row r="149" spans="1:3" x14ac:dyDescent="0.2">
      <c r="A149" s="245"/>
      <c r="B149" s="245"/>
      <c r="C149" s="245"/>
    </row>
    <row r="150" spans="1:3" x14ac:dyDescent="0.2">
      <c r="A150" s="245"/>
      <c r="B150" s="245"/>
      <c r="C150" s="245"/>
    </row>
    <row r="151" spans="1:3" x14ac:dyDescent="0.2">
      <c r="A151" s="245"/>
      <c r="B151" s="245"/>
      <c r="C151" s="245"/>
    </row>
    <row r="152" spans="1:3" x14ac:dyDescent="0.2">
      <c r="A152" s="245"/>
      <c r="B152" s="245"/>
      <c r="C152" s="245"/>
    </row>
    <row r="153" spans="1:3" x14ac:dyDescent="0.2">
      <c r="A153" s="245"/>
      <c r="B153" s="245"/>
      <c r="C153" s="245"/>
    </row>
    <row r="154" spans="1:3" x14ac:dyDescent="0.2">
      <c r="A154" s="245"/>
      <c r="B154" s="245"/>
      <c r="C154" s="245"/>
    </row>
    <row r="155" spans="1:3" x14ac:dyDescent="0.2">
      <c r="A155" s="245"/>
      <c r="B155" s="245"/>
      <c r="C155" s="245"/>
    </row>
    <row r="156" spans="1:3" x14ac:dyDescent="0.2">
      <c r="A156" s="245"/>
      <c r="B156" s="245"/>
      <c r="C156" s="245"/>
    </row>
    <row r="157" spans="1:3" x14ac:dyDescent="0.2">
      <c r="A157" s="245"/>
      <c r="B157" s="245"/>
      <c r="C157" s="245"/>
    </row>
    <row r="158" spans="1:3" x14ac:dyDescent="0.2">
      <c r="A158" s="245"/>
      <c r="B158" s="245"/>
      <c r="C158" s="245"/>
    </row>
    <row r="159" spans="1:3" x14ac:dyDescent="0.2">
      <c r="A159" s="245"/>
      <c r="B159" s="245"/>
      <c r="C159" s="245"/>
    </row>
    <row r="160" spans="1:3" x14ac:dyDescent="0.2">
      <c r="A160" s="245"/>
      <c r="B160" s="245"/>
      <c r="C160" s="245"/>
    </row>
    <row r="161" spans="1:3" x14ac:dyDescent="0.2">
      <c r="A161" s="245"/>
      <c r="B161" s="245"/>
      <c r="C161" s="245"/>
    </row>
    <row r="162" spans="1:3" x14ac:dyDescent="0.2">
      <c r="A162" s="245"/>
      <c r="B162" s="245"/>
      <c r="C162" s="245"/>
    </row>
    <row r="163" spans="1:3" x14ac:dyDescent="0.2">
      <c r="A163" s="245"/>
      <c r="B163" s="245"/>
      <c r="C163" s="245"/>
    </row>
    <row r="164" spans="1:3" x14ac:dyDescent="0.2">
      <c r="A164" s="245"/>
      <c r="B164" s="245"/>
      <c r="C164" s="245"/>
    </row>
    <row r="165" spans="1:3" x14ac:dyDescent="0.2">
      <c r="A165" s="245"/>
      <c r="B165" s="245"/>
      <c r="C165" s="245"/>
    </row>
    <row r="166" spans="1:3" x14ac:dyDescent="0.2">
      <c r="A166" s="245"/>
      <c r="B166" s="245"/>
      <c r="C166" s="245"/>
    </row>
    <row r="167" spans="1:3" x14ac:dyDescent="0.2">
      <c r="A167" s="245"/>
      <c r="B167" s="245"/>
      <c r="C167" s="245"/>
    </row>
    <row r="168" spans="1:3" x14ac:dyDescent="0.2">
      <c r="A168" s="245"/>
      <c r="B168" s="245"/>
      <c r="C168" s="245"/>
    </row>
    <row r="169" spans="1:3" x14ac:dyDescent="0.2">
      <c r="A169" s="245"/>
      <c r="B169" s="245"/>
      <c r="C169" s="245"/>
    </row>
    <row r="170" spans="1:3" x14ac:dyDescent="0.2">
      <c r="A170" s="245"/>
      <c r="B170" s="245"/>
      <c r="C170" s="245"/>
    </row>
    <row r="171" spans="1:3" x14ac:dyDescent="0.2">
      <c r="A171" s="245"/>
      <c r="B171" s="245"/>
      <c r="C171" s="245"/>
    </row>
    <row r="172" spans="1:3" x14ac:dyDescent="0.2">
      <c r="A172" s="245"/>
      <c r="B172" s="245"/>
      <c r="C172" s="245"/>
    </row>
    <row r="173" spans="1:3" x14ac:dyDescent="0.2">
      <c r="A173" s="245"/>
      <c r="B173" s="245"/>
      <c r="C173" s="245"/>
    </row>
    <row r="174" spans="1:3" x14ac:dyDescent="0.2">
      <c r="A174" s="245"/>
      <c r="B174" s="245"/>
      <c r="C174" s="245"/>
    </row>
    <row r="175" spans="1:3" x14ac:dyDescent="0.2">
      <c r="A175" s="245"/>
      <c r="B175" s="245"/>
      <c r="C175" s="245"/>
    </row>
    <row r="176" spans="1:3" x14ac:dyDescent="0.2">
      <c r="A176" s="245"/>
      <c r="B176" s="245"/>
      <c r="C176" s="245"/>
    </row>
    <row r="177" spans="1:3" x14ac:dyDescent="0.2">
      <c r="A177" s="245"/>
      <c r="B177" s="245"/>
      <c r="C177" s="245"/>
    </row>
    <row r="178" spans="1:3" x14ac:dyDescent="0.2">
      <c r="A178" s="245"/>
      <c r="B178" s="245"/>
      <c r="C178" s="245"/>
    </row>
    <row r="179" spans="1:3" x14ac:dyDescent="0.2">
      <c r="A179" s="245"/>
      <c r="B179" s="245"/>
      <c r="C179" s="245"/>
    </row>
    <row r="180" spans="1:3" x14ac:dyDescent="0.2">
      <c r="A180" s="245"/>
      <c r="B180" s="245"/>
      <c r="C180" s="245"/>
    </row>
    <row r="181" spans="1:3" x14ac:dyDescent="0.2">
      <c r="A181" s="245"/>
      <c r="B181" s="245"/>
      <c r="C181" s="245"/>
    </row>
    <row r="182" spans="1:3" x14ac:dyDescent="0.2">
      <c r="A182" s="245"/>
      <c r="B182" s="245"/>
      <c r="C182" s="245"/>
    </row>
    <row r="183" spans="1:3" x14ac:dyDescent="0.2">
      <c r="A183" s="245"/>
      <c r="B183" s="245"/>
      <c r="C183" s="245"/>
    </row>
    <row r="184" spans="1:3" x14ac:dyDescent="0.2">
      <c r="A184" s="245"/>
      <c r="B184" s="245"/>
      <c r="C184" s="245"/>
    </row>
    <row r="185" spans="1:3" x14ac:dyDescent="0.2">
      <c r="A185" s="245"/>
      <c r="B185" s="245"/>
      <c r="C185" s="245"/>
    </row>
    <row r="186" spans="1:3" x14ac:dyDescent="0.2">
      <c r="A186" s="245"/>
      <c r="B186" s="245"/>
      <c r="C186" s="245"/>
    </row>
    <row r="187" spans="1:3" x14ac:dyDescent="0.2">
      <c r="A187" s="245"/>
      <c r="B187" s="245"/>
      <c r="C187" s="245"/>
    </row>
    <row r="188" spans="1:3" x14ac:dyDescent="0.2">
      <c r="A188" s="245"/>
      <c r="B188" s="245"/>
      <c r="C188" s="245"/>
    </row>
    <row r="189" spans="1:3" x14ac:dyDescent="0.2">
      <c r="A189" s="245"/>
      <c r="B189" s="245"/>
      <c r="C189" s="245"/>
    </row>
    <row r="190" spans="1:3" x14ac:dyDescent="0.2">
      <c r="A190" s="245"/>
      <c r="B190" s="245"/>
      <c r="C190" s="245"/>
    </row>
    <row r="191" spans="1:3" x14ac:dyDescent="0.2">
      <c r="A191" s="245"/>
      <c r="B191" s="245"/>
      <c r="C191" s="245"/>
    </row>
    <row r="192" spans="1:3" x14ac:dyDescent="0.2">
      <c r="A192" s="245"/>
      <c r="B192" s="245"/>
      <c r="C192" s="245"/>
    </row>
    <row r="193" spans="1:3" x14ac:dyDescent="0.2">
      <c r="A193" s="245"/>
      <c r="B193" s="245"/>
      <c r="C193" s="245"/>
    </row>
    <row r="194" spans="1:3" x14ac:dyDescent="0.2">
      <c r="A194" s="245"/>
      <c r="B194" s="245"/>
      <c r="C194" s="245"/>
    </row>
    <row r="195" spans="1:3" x14ac:dyDescent="0.2">
      <c r="A195" s="245"/>
      <c r="B195" s="245"/>
      <c r="C195" s="245"/>
    </row>
    <row r="196" spans="1:3" x14ac:dyDescent="0.2">
      <c r="A196" s="245"/>
      <c r="B196" s="245"/>
      <c r="C196" s="245"/>
    </row>
    <row r="197" spans="1:3" x14ac:dyDescent="0.2">
      <c r="A197" s="245"/>
      <c r="B197" s="245"/>
      <c r="C197" s="245"/>
    </row>
    <row r="198" spans="1:3" x14ac:dyDescent="0.2">
      <c r="A198" s="245"/>
      <c r="B198" s="245"/>
      <c r="C198" s="245"/>
    </row>
    <row r="199" spans="1:3" x14ac:dyDescent="0.2">
      <c r="A199" s="245"/>
      <c r="B199" s="245"/>
      <c r="C199" s="245"/>
    </row>
    <row r="200" spans="1:3" x14ac:dyDescent="0.2">
      <c r="A200" s="245"/>
      <c r="B200" s="245"/>
      <c r="C200" s="245"/>
    </row>
    <row r="201" spans="1:3" x14ac:dyDescent="0.2">
      <c r="A201" s="245"/>
      <c r="B201" s="245"/>
      <c r="C201" s="245"/>
    </row>
    <row r="202" spans="1:3" x14ac:dyDescent="0.2">
      <c r="A202" s="245"/>
      <c r="B202" s="245"/>
      <c r="C202" s="245"/>
    </row>
    <row r="203" spans="1:3" x14ac:dyDescent="0.2">
      <c r="A203" s="245"/>
      <c r="B203" s="245"/>
      <c r="C203" s="245"/>
    </row>
    <row r="204" spans="1:3" x14ac:dyDescent="0.2">
      <c r="A204" s="245"/>
      <c r="B204" s="245"/>
      <c r="C204" s="245"/>
    </row>
    <row r="205" spans="1:3" x14ac:dyDescent="0.2">
      <c r="A205" s="245"/>
      <c r="B205" s="245"/>
      <c r="C205" s="245"/>
    </row>
    <row r="206" spans="1:3" x14ac:dyDescent="0.2">
      <c r="A206" s="245"/>
      <c r="B206" s="245"/>
      <c r="C206" s="245"/>
    </row>
    <row r="207" spans="1:3" x14ac:dyDescent="0.2">
      <c r="A207" s="245"/>
      <c r="B207" s="245"/>
      <c r="C207" s="245"/>
    </row>
    <row r="208" spans="1:3" x14ac:dyDescent="0.2">
      <c r="A208" s="245"/>
      <c r="B208" s="245"/>
      <c r="C208" s="245"/>
    </row>
    <row r="209" spans="1:3" x14ac:dyDescent="0.2">
      <c r="A209" s="245"/>
      <c r="B209" s="245"/>
      <c r="C209" s="245"/>
    </row>
    <row r="210" spans="1:3" x14ac:dyDescent="0.2">
      <c r="A210" s="245"/>
      <c r="B210" s="245"/>
      <c r="C210" s="245"/>
    </row>
    <row r="211" spans="1:3" x14ac:dyDescent="0.2">
      <c r="A211" s="245"/>
      <c r="B211" s="245"/>
      <c r="C211" s="245"/>
    </row>
    <row r="212" spans="1:3" x14ac:dyDescent="0.2">
      <c r="A212" s="245"/>
      <c r="B212" s="245"/>
      <c r="C212" s="245"/>
    </row>
    <row r="213" spans="1:3" x14ac:dyDescent="0.2">
      <c r="A213" s="245"/>
      <c r="B213" s="245"/>
      <c r="C213" s="245"/>
    </row>
    <row r="214" spans="1:3" x14ac:dyDescent="0.2">
      <c r="A214" s="245"/>
      <c r="B214" s="245"/>
      <c r="C214" s="245"/>
    </row>
    <row r="215" spans="1:3" x14ac:dyDescent="0.2">
      <c r="A215" s="245"/>
      <c r="B215" s="245"/>
      <c r="C215" s="245"/>
    </row>
    <row r="216" spans="1:3" x14ac:dyDescent="0.2">
      <c r="A216" s="245"/>
      <c r="B216" s="245"/>
      <c r="C216" s="245"/>
    </row>
    <row r="217" spans="1:3" x14ac:dyDescent="0.2">
      <c r="A217" s="245"/>
      <c r="B217" s="245"/>
      <c r="C217" s="245"/>
    </row>
    <row r="218" spans="1:3" x14ac:dyDescent="0.2">
      <c r="A218" s="245"/>
      <c r="B218" s="245"/>
      <c r="C218" s="245"/>
    </row>
    <row r="219" spans="1:3" x14ac:dyDescent="0.2">
      <c r="A219" s="245"/>
      <c r="B219" s="245"/>
      <c r="C219" s="245"/>
    </row>
    <row r="220" spans="1:3" x14ac:dyDescent="0.2">
      <c r="A220" s="245"/>
      <c r="B220" s="245"/>
      <c r="C220" s="245"/>
    </row>
    <row r="221" spans="1:3" x14ac:dyDescent="0.2">
      <c r="A221" s="245"/>
      <c r="B221" s="245"/>
      <c r="C221" s="245"/>
    </row>
    <row r="222" spans="1:3" x14ac:dyDescent="0.2">
      <c r="A222" s="245"/>
      <c r="B222" s="245"/>
      <c r="C222" s="245"/>
    </row>
    <row r="223" spans="1:3" x14ac:dyDescent="0.2">
      <c r="A223" s="245"/>
      <c r="B223" s="245"/>
      <c r="C223" s="245"/>
    </row>
    <row r="224" spans="1:3" x14ac:dyDescent="0.2">
      <c r="A224" s="245"/>
      <c r="B224" s="245"/>
      <c r="C224" s="245"/>
    </row>
    <row r="225" spans="1:3" x14ac:dyDescent="0.2">
      <c r="A225" s="245"/>
      <c r="B225" s="245"/>
      <c r="C225" s="245"/>
    </row>
    <row r="226" spans="1:3" x14ac:dyDescent="0.2">
      <c r="A226" s="245"/>
      <c r="B226" s="245"/>
      <c r="C226" s="245"/>
    </row>
    <row r="227" spans="1:3" x14ac:dyDescent="0.2">
      <c r="A227" s="245"/>
      <c r="B227" s="245"/>
      <c r="C227" s="245"/>
    </row>
    <row r="228" spans="1:3" x14ac:dyDescent="0.2">
      <c r="A228" s="245"/>
      <c r="B228" s="245"/>
      <c r="C228" s="245"/>
    </row>
    <row r="229" spans="1:3" x14ac:dyDescent="0.2">
      <c r="A229" s="245"/>
      <c r="B229" s="245"/>
      <c r="C229" s="245"/>
    </row>
    <row r="230" spans="1:3" x14ac:dyDescent="0.2">
      <c r="A230" s="245"/>
      <c r="B230" s="245"/>
      <c r="C230" s="245"/>
    </row>
    <row r="231" spans="1:3" x14ac:dyDescent="0.2">
      <c r="A231" s="245"/>
      <c r="B231" s="245"/>
      <c r="C231" s="245"/>
    </row>
    <row r="232" spans="1:3" x14ac:dyDescent="0.2">
      <c r="A232" s="245"/>
      <c r="B232" s="245"/>
      <c r="C232" s="245"/>
    </row>
    <row r="233" spans="1:3" x14ac:dyDescent="0.2">
      <c r="A233" s="245"/>
      <c r="B233" s="245"/>
      <c r="C233" s="245"/>
    </row>
    <row r="234" spans="1:3" x14ac:dyDescent="0.2">
      <c r="A234" s="245"/>
      <c r="B234" s="245"/>
      <c r="C234" s="245"/>
    </row>
    <row r="235" spans="1:3" x14ac:dyDescent="0.2">
      <c r="A235" s="245"/>
      <c r="B235" s="245"/>
      <c r="C235" s="245"/>
    </row>
    <row r="236" spans="1:3" x14ac:dyDescent="0.2">
      <c r="A236" s="245"/>
      <c r="B236" s="245"/>
      <c r="C236" s="245"/>
    </row>
    <row r="237" spans="1:3" x14ac:dyDescent="0.2">
      <c r="A237" s="245"/>
      <c r="B237" s="245"/>
      <c r="C237" s="245"/>
    </row>
    <row r="238" spans="1:3" x14ac:dyDescent="0.2">
      <c r="A238" s="245"/>
      <c r="B238" s="245"/>
      <c r="C238" s="245"/>
    </row>
    <row r="239" spans="1:3" x14ac:dyDescent="0.2">
      <c r="A239" s="245"/>
      <c r="B239" s="245"/>
      <c r="C239" s="245"/>
    </row>
    <row r="240" spans="1:3" x14ac:dyDescent="0.2">
      <c r="A240" s="245"/>
      <c r="B240" s="245"/>
      <c r="C240" s="245"/>
    </row>
    <row r="241" spans="1:3" x14ac:dyDescent="0.2">
      <c r="A241" s="245"/>
      <c r="B241" s="245"/>
      <c r="C241" s="245"/>
    </row>
    <row r="242" spans="1:3" x14ac:dyDescent="0.2">
      <c r="A242" s="245"/>
      <c r="B242" s="245"/>
      <c r="C242" s="245"/>
    </row>
    <row r="243" spans="1:3" x14ac:dyDescent="0.2">
      <c r="A243" s="245"/>
      <c r="B243" s="245"/>
      <c r="C243" s="245"/>
    </row>
    <row r="244" spans="1:3" x14ac:dyDescent="0.2">
      <c r="A244" s="245"/>
      <c r="B244" s="245"/>
      <c r="C244" s="245"/>
    </row>
    <row r="245" spans="1:3" x14ac:dyDescent="0.2">
      <c r="A245" s="245"/>
      <c r="B245" s="245"/>
      <c r="C245" s="245"/>
    </row>
    <row r="246" spans="1:3" x14ac:dyDescent="0.2">
      <c r="A246" s="245"/>
      <c r="B246" s="245"/>
      <c r="C246" s="245"/>
    </row>
    <row r="247" spans="1:3" x14ac:dyDescent="0.2">
      <c r="A247" s="245"/>
      <c r="B247" s="245"/>
      <c r="C247" s="245"/>
    </row>
    <row r="248" spans="1:3" x14ac:dyDescent="0.2">
      <c r="A248" s="245"/>
      <c r="B248" s="245"/>
      <c r="C248" s="245"/>
    </row>
    <row r="249" spans="1:3" x14ac:dyDescent="0.2">
      <c r="A249" s="245"/>
      <c r="B249" s="245"/>
      <c r="C249" s="245"/>
    </row>
    <row r="250" spans="1:3" x14ac:dyDescent="0.2">
      <c r="A250" s="245"/>
      <c r="B250" s="245"/>
      <c r="C250" s="245"/>
    </row>
    <row r="251" spans="1:3" x14ac:dyDescent="0.2">
      <c r="A251" s="245"/>
      <c r="B251" s="245"/>
      <c r="C251" s="245"/>
    </row>
    <row r="252" spans="1:3" x14ac:dyDescent="0.2">
      <c r="A252" s="245"/>
      <c r="B252" s="245"/>
      <c r="C252" s="245"/>
    </row>
    <row r="253" spans="1:3" x14ac:dyDescent="0.2">
      <c r="A253" s="245"/>
      <c r="B253" s="245"/>
      <c r="C253" s="245"/>
    </row>
    <row r="254" spans="1:3" x14ac:dyDescent="0.2">
      <c r="A254" s="245"/>
      <c r="B254" s="245"/>
      <c r="C254" s="245"/>
    </row>
    <row r="255" spans="1:3" x14ac:dyDescent="0.2">
      <c r="A255" s="245"/>
      <c r="B255" s="245"/>
      <c r="C255" s="245"/>
    </row>
    <row r="256" spans="1:3" x14ac:dyDescent="0.2">
      <c r="A256" s="245"/>
      <c r="B256" s="245"/>
      <c r="C256" s="245"/>
    </row>
    <row r="257" spans="1:3" x14ac:dyDescent="0.2">
      <c r="A257" s="245"/>
      <c r="B257" s="245"/>
      <c r="C257" s="245"/>
    </row>
    <row r="258" spans="1:3" x14ac:dyDescent="0.2">
      <c r="A258" s="245"/>
      <c r="B258" s="245"/>
      <c r="C258" s="245"/>
    </row>
    <row r="259" spans="1:3" x14ac:dyDescent="0.2">
      <c r="A259" s="245"/>
      <c r="B259" s="245"/>
      <c r="C259" s="245"/>
    </row>
    <row r="260" spans="1:3" x14ac:dyDescent="0.2">
      <c r="A260" s="245"/>
      <c r="B260" s="245"/>
      <c r="C260" s="245"/>
    </row>
    <row r="261" spans="1:3" x14ac:dyDescent="0.2">
      <c r="A261" s="245"/>
      <c r="B261" s="245"/>
      <c r="C261" s="245"/>
    </row>
    <row r="262" spans="1:3" x14ac:dyDescent="0.2">
      <c r="A262" s="245"/>
      <c r="B262" s="245"/>
      <c r="C262" s="245"/>
    </row>
    <row r="263" spans="1:3" x14ac:dyDescent="0.2">
      <c r="A263" s="245"/>
      <c r="B263" s="245"/>
      <c r="C263" s="245"/>
    </row>
    <row r="264" spans="1:3" x14ac:dyDescent="0.2">
      <c r="A264" s="245"/>
      <c r="B264" s="245"/>
      <c r="C264" s="245"/>
    </row>
    <row r="265" spans="1:3" x14ac:dyDescent="0.2">
      <c r="A265" s="245"/>
      <c r="B265" s="245"/>
      <c r="C265" s="245"/>
    </row>
    <row r="266" spans="1:3" x14ac:dyDescent="0.2">
      <c r="A266" s="245"/>
      <c r="B266" s="245"/>
      <c r="C266" s="245"/>
    </row>
    <row r="267" spans="1:3" x14ac:dyDescent="0.2">
      <c r="A267" s="245"/>
      <c r="B267" s="245"/>
      <c r="C267" s="245"/>
    </row>
    <row r="268" spans="1:3" x14ac:dyDescent="0.2">
      <c r="A268" s="245"/>
      <c r="B268" s="245"/>
      <c r="C268" s="245"/>
    </row>
    <row r="269" spans="1:3" x14ac:dyDescent="0.2">
      <c r="A269" s="245"/>
      <c r="B269" s="245"/>
      <c r="C269" s="245"/>
    </row>
    <row r="270" spans="1:3" x14ac:dyDescent="0.2">
      <c r="A270" s="245"/>
      <c r="B270" s="245"/>
      <c r="C270" s="245"/>
    </row>
    <row r="271" spans="1:3" x14ac:dyDescent="0.2">
      <c r="A271" s="245"/>
      <c r="B271" s="245"/>
      <c r="C271" s="245"/>
    </row>
    <row r="272" spans="1:3" x14ac:dyDescent="0.2">
      <c r="A272" s="245"/>
      <c r="B272" s="245"/>
      <c r="C272" s="245"/>
    </row>
    <row r="273" spans="1:3" x14ac:dyDescent="0.2">
      <c r="A273" s="245"/>
      <c r="B273" s="245"/>
      <c r="C273" s="245"/>
    </row>
    <row r="274" spans="1:3" x14ac:dyDescent="0.2">
      <c r="A274" s="245"/>
      <c r="B274" s="245"/>
      <c r="C274" s="245"/>
    </row>
    <row r="275" spans="1:3" x14ac:dyDescent="0.2">
      <c r="A275" s="245"/>
      <c r="B275" s="245"/>
      <c r="C275" s="245"/>
    </row>
    <row r="276" spans="1:3" x14ac:dyDescent="0.2">
      <c r="A276" s="245"/>
      <c r="B276" s="245"/>
      <c r="C276" s="245"/>
    </row>
    <row r="277" spans="1:3" x14ac:dyDescent="0.2">
      <c r="A277" s="245"/>
      <c r="B277" s="245"/>
      <c r="C277" s="245"/>
    </row>
    <row r="278" spans="1:3" x14ac:dyDescent="0.2">
      <c r="A278" s="245"/>
      <c r="B278" s="245"/>
      <c r="C278" s="245"/>
    </row>
    <row r="279" spans="1:3" x14ac:dyDescent="0.2">
      <c r="A279" s="245"/>
      <c r="B279" s="245"/>
      <c r="C279" s="245"/>
    </row>
    <row r="280" spans="1:3" x14ac:dyDescent="0.2">
      <c r="A280" s="245"/>
      <c r="B280" s="245"/>
      <c r="C280" s="245"/>
    </row>
    <row r="281" spans="1:3" x14ac:dyDescent="0.2">
      <c r="A281" s="245"/>
      <c r="B281" s="245"/>
      <c r="C281" s="245"/>
    </row>
    <row r="282" spans="1:3" x14ac:dyDescent="0.2">
      <c r="A282" s="245"/>
      <c r="B282" s="245"/>
      <c r="C282" s="245"/>
    </row>
    <row r="283" spans="1:3" x14ac:dyDescent="0.2">
      <c r="A283" s="245"/>
      <c r="B283" s="245"/>
      <c r="C283" s="245"/>
    </row>
    <row r="284" spans="1:3" x14ac:dyDescent="0.2">
      <c r="A284" s="245"/>
      <c r="B284" s="245"/>
      <c r="C284" s="245"/>
    </row>
    <row r="285" spans="1:3" x14ac:dyDescent="0.2">
      <c r="A285" s="245"/>
      <c r="B285" s="245"/>
      <c r="C285" s="245"/>
    </row>
    <row r="286" spans="1:3" x14ac:dyDescent="0.2">
      <c r="A286" s="245"/>
      <c r="B286" s="245"/>
      <c r="C286" s="245"/>
    </row>
    <row r="287" spans="1:3" x14ac:dyDescent="0.2">
      <c r="A287" s="245"/>
      <c r="B287" s="245"/>
      <c r="C287" s="245"/>
    </row>
    <row r="288" spans="1:3" x14ac:dyDescent="0.2">
      <c r="A288" s="245"/>
      <c r="B288" s="245"/>
      <c r="C288" s="245"/>
    </row>
    <row r="289" spans="1:3" x14ac:dyDescent="0.2">
      <c r="A289" s="245"/>
      <c r="B289" s="245"/>
      <c r="C289" s="245"/>
    </row>
    <row r="290" spans="1:3" x14ac:dyDescent="0.2">
      <c r="A290" s="245"/>
      <c r="B290" s="245"/>
      <c r="C290" s="245"/>
    </row>
    <row r="291" spans="1:3" x14ac:dyDescent="0.2">
      <c r="A291" s="245"/>
      <c r="B291" s="245"/>
      <c r="C291" s="245"/>
    </row>
    <row r="292" spans="1:3" x14ac:dyDescent="0.2">
      <c r="A292" s="245"/>
      <c r="B292" s="245"/>
      <c r="C292" s="245"/>
    </row>
    <row r="293" spans="1:3" x14ac:dyDescent="0.2">
      <c r="A293" s="245"/>
      <c r="B293" s="245"/>
      <c r="C293" s="245"/>
    </row>
    <row r="294" spans="1:3" x14ac:dyDescent="0.2">
      <c r="A294" s="245"/>
      <c r="B294" s="245"/>
      <c r="C294" s="245"/>
    </row>
    <row r="295" spans="1:3" x14ac:dyDescent="0.2">
      <c r="A295" s="245"/>
      <c r="B295" s="245"/>
      <c r="C295" s="245"/>
    </row>
    <row r="296" spans="1:3" x14ac:dyDescent="0.2">
      <c r="A296" s="245"/>
      <c r="B296" s="245"/>
      <c r="C296" s="245"/>
    </row>
    <row r="297" spans="1:3" x14ac:dyDescent="0.2">
      <c r="A297" s="245"/>
      <c r="B297" s="245"/>
      <c r="C297" s="245"/>
    </row>
    <row r="298" spans="1:3" x14ac:dyDescent="0.2">
      <c r="A298" s="245"/>
      <c r="B298" s="245"/>
      <c r="C298" s="245"/>
    </row>
    <row r="299" spans="1:3" x14ac:dyDescent="0.2">
      <c r="A299" s="245"/>
      <c r="B299" s="245"/>
      <c r="C299" s="245"/>
    </row>
    <row r="300" spans="1:3" x14ac:dyDescent="0.2">
      <c r="A300" s="245"/>
      <c r="B300" s="245"/>
      <c r="C300" s="245"/>
    </row>
    <row r="301" spans="1:3" x14ac:dyDescent="0.2">
      <c r="A301" s="245"/>
      <c r="B301" s="245"/>
      <c r="C301" s="245"/>
    </row>
    <row r="302" spans="1:3" x14ac:dyDescent="0.2">
      <c r="A302" s="245"/>
      <c r="B302" s="245"/>
      <c r="C302" s="245"/>
    </row>
    <row r="303" spans="1:3" x14ac:dyDescent="0.2">
      <c r="A303" s="245"/>
      <c r="B303" s="245"/>
      <c r="C303" s="245"/>
    </row>
    <row r="304" spans="1:3" x14ac:dyDescent="0.2">
      <c r="A304" s="245"/>
      <c r="B304" s="245"/>
      <c r="C304" s="245"/>
    </row>
    <row r="305" spans="1:3" x14ac:dyDescent="0.2">
      <c r="A305" s="245"/>
      <c r="B305" s="245"/>
      <c r="C305" s="245"/>
    </row>
    <row r="306" spans="1:3" x14ac:dyDescent="0.2">
      <c r="A306" s="245"/>
      <c r="B306" s="245"/>
      <c r="C306" s="245"/>
    </row>
    <row r="307" spans="1:3" x14ac:dyDescent="0.2">
      <c r="A307" s="245"/>
      <c r="B307" s="245"/>
      <c r="C307" s="245"/>
    </row>
    <row r="308" spans="1:3" x14ac:dyDescent="0.2">
      <c r="A308" s="245"/>
      <c r="B308" s="245"/>
      <c r="C308" s="245"/>
    </row>
    <row r="309" spans="1:3" x14ac:dyDescent="0.2">
      <c r="A309" s="245"/>
      <c r="B309" s="245"/>
      <c r="C309" s="245"/>
    </row>
    <row r="310" spans="1:3" x14ac:dyDescent="0.2">
      <c r="A310" s="245"/>
      <c r="B310" s="245"/>
      <c r="C310" s="245"/>
    </row>
    <row r="311" spans="1:3" x14ac:dyDescent="0.2">
      <c r="A311" s="245"/>
      <c r="B311" s="245"/>
      <c r="C311" s="245"/>
    </row>
    <row r="312" spans="1:3" x14ac:dyDescent="0.2">
      <c r="A312" s="245"/>
      <c r="B312" s="245"/>
      <c r="C312" s="245"/>
    </row>
    <row r="313" spans="1:3" x14ac:dyDescent="0.2">
      <c r="A313" s="245"/>
      <c r="B313" s="245"/>
      <c r="C313" s="245"/>
    </row>
    <row r="314" spans="1:3" x14ac:dyDescent="0.2">
      <c r="A314" s="245"/>
      <c r="B314" s="245"/>
      <c r="C314" s="245"/>
    </row>
    <row r="315" spans="1:3" x14ac:dyDescent="0.2">
      <c r="A315" s="245"/>
      <c r="B315" s="245"/>
      <c r="C315" s="245"/>
    </row>
    <row r="316" spans="1:3" x14ac:dyDescent="0.2">
      <c r="A316" s="245"/>
      <c r="B316" s="245"/>
      <c r="C316" s="245"/>
    </row>
    <row r="317" spans="1:3" x14ac:dyDescent="0.2">
      <c r="A317" s="245"/>
      <c r="B317" s="245"/>
      <c r="C317" s="245"/>
    </row>
    <row r="318" spans="1:3" x14ac:dyDescent="0.2">
      <c r="A318" s="245"/>
      <c r="B318" s="245"/>
      <c r="C318" s="245"/>
    </row>
    <row r="319" spans="1:3" x14ac:dyDescent="0.2">
      <c r="A319" s="245"/>
      <c r="B319" s="245"/>
      <c r="C319" s="245"/>
    </row>
    <row r="320" spans="1:3" x14ac:dyDescent="0.2">
      <c r="A320" s="245"/>
      <c r="B320" s="245"/>
      <c r="C320" s="245"/>
    </row>
    <row r="321" spans="1:3" x14ac:dyDescent="0.2">
      <c r="A321" s="245"/>
      <c r="B321" s="245"/>
      <c r="C321" s="245"/>
    </row>
    <row r="322" spans="1:3" x14ac:dyDescent="0.2">
      <c r="A322" s="245"/>
      <c r="B322" s="245"/>
      <c r="C322" s="245"/>
    </row>
    <row r="323" spans="1:3" x14ac:dyDescent="0.2">
      <c r="A323" s="245"/>
      <c r="B323" s="245"/>
      <c r="C323" s="245"/>
    </row>
    <row r="324" spans="1:3" x14ac:dyDescent="0.2">
      <c r="A324" s="245"/>
      <c r="B324" s="245"/>
      <c r="C324" s="245"/>
    </row>
    <row r="325" spans="1:3" x14ac:dyDescent="0.2">
      <c r="A325" s="245"/>
      <c r="B325" s="245"/>
      <c r="C325" s="245"/>
    </row>
    <row r="326" spans="1:3" x14ac:dyDescent="0.2">
      <c r="A326" s="245"/>
      <c r="B326" s="245"/>
      <c r="C326" s="245"/>
    </row>
    <row r="327" spans="1:3" x14ac:dyDescent="0.2">
      <c r="A327" s="245"/>
      <c r="B327" s="245"/>
      <c r="C327" s="245"/>
    </row>
    <row r="328" spans="1:3" x14ac:dyDescent="0.2">
      <c r="A328" s="245"/>
      <c r="B328" s="245"/>
      <c r="C328" s="245"/>
    </row>
    <row r="329" spans="1:3" x14ac:dyDescent="0.2">
      <c r="A329" s="122"/>
      <c r="B329" s="122"/>
      <c r="C329" s="122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  <row r="658" spans="1:3" x14ac:dyDescent="0.2">
      <c r="A658" s="122"/>
      <c r="B658" s="122"/>
      <c r="C658" s="122"/>
    </row>
    <row r="659" spans="1:3" x14ac:dyDescent="0.2">
      <c r="A659" s="122"/>
      <c r="B659" s="122"/>
      <c r="C659" s="122"/>
    </row>
    <row r="660" spans="1:3" x14ac:dyDescent="0.2">
      <c r="A660" s="122"/>
      <c r="B660" s="122"/>
      <c r="C660" s="122"/>
    </row>
    <row r="661" spans="1:3" x14ac:dyDescent="0.2">
      <c r="A661" s="122"/>
      <c r="B661" s="122"/>
      <c r="C661" s="122"/>
    </row>
    <row r="662" spans="1:3" x14ac:dyDescent="0.2">
      <c r="A662" s="122"/>
      <c r="B662" s="122"/>
      <c r="C662" s="122"/>
    </row>
    <row r="663" spans="1:3" x14ac:dyDescent="0.2">
      <c r="A663" s="122"/>
      <c r="B663" s="122"/>
      <c r="C663" s="122"/>
    </row>
    <row r="664" spans="1:3" x14ac:dyDescent="0.2">
      <c r="A664" s="122"/>
      <c r="B664" s="122"/>
      <c r="C664" s="122"/>
    </row>
  </sheetData>
  <sheetProtection algorithmName="SHA-512" hashValue="DdXJt7Fg0kcVlaYlAIq7X8L9HxY1+Mxo0K+c8alMBzsQOhuR187n+0G96WdNDMCp7scqn6eZtpXPCIevuJyt7Q==" saltValue="edxjpoMt2KY8zuGiKj2r4Q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7:B11 B5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AH264"/>
  <sheetViews>
    <sheetView topLeftCell="A196" workbookViewId="0">
      <selection activeCell="C219" sqref="C219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1" width="25.7109375" customWidth="1"/>
    <col min="12" max="12" width="9.140625" customWidth="1"/>
    <col min="13" max="13" width="1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68"/>
      <c r="K2" s="24" t="s">
        <v>47</v>
      </c>
      <c r="L2" s="23">
        <f>Utslag!B30</f>
        <v>0</v>
      </c>
      <c r="M2" s="25" t="s">
        <v>3</v>
      </c>
    </row>
    <row r="3" spans="1:15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24" t="s">
        <v>52</v>
      </c>
      <c r="L3" s="23">
        <f>Utslag!B29</f>
        <v>0</v>
      </c>
      <c r="M3" s="25" t="s">
        <v>3</v>
      </c>
    </row>
    <row r="4" spans="1:15" x14ac:dyDescent="0.2">
      <c r="A4" s="73" t="s">
        <v>47</v>
      </c>
      <c r="B4" s="207" t="s">
        <v>229</v>
      </c>
      <c r="C4" s="34">
        <v>0</v>
      </c>
      <c r="D4" s="34">
        <v>0</v>
      </c>
      <c r="E4" s="34">
        <v>0</v>
      </c>
      <c r="F4" s="34">
        <v>0</v>
      </c>
      <c r="G4" s="171">
        <v>28</v>
      </c>
      <c r="H4" s="171">
        <v>33</v>
      </c>
      <c r="I4" s="172">
        <v>33</v>
      </c>
      <c r="K4" s="1"/>
      <c r="L4" s="1"/>
    </row>
    <row r="5" spans="1:15" x14ac:dyDescent="0.2">
      <c r="A5" s="73" t="s">
        <v>50</v>
      </c>
      <c r="B5" s="207" t="s">
        <v>229</v>
      </c>
      <c r="C5" s="35">
        <v>98</v>
      </c>
      <c r="D5" s="35">
        <v>98</v>
      </c>
      <c r="E5" s="35">
        <v>98</v>
      </c>
      <c r="F5" s="35">
        <v>98</v>
      </c>
      <c r="G5" s="35">
        <v>98</v>
      </c>
      <c r="H5" s="35">
        <v>0</v>
      </c>
      <c r="I5" s="98">
        <v>0</v>
      </c>
      <c r="K5" s="266" t="s">
        <v>218</v>
      </c>
      <c r="L5" s="267">
        <f>L3*0.6-L3*0.6</f>
        <v>0</v>
      </c>
    </row>
    <row r="6" spans="1:15" x14ac:dyDescent="0.2">
      <c r="A6" s="73" t="s">
        <v>48</v>
      </c>
      <c r="B6" s="207" t="s">
        <v>229</v>
      </c>
      <c r="C6" s="34">
        <v>33</v>
      </c>
      <c r="D6" s="34">
        <v>33</v>
      </c>
      <c r="E6" s="34">
        <v>33</v>
      </c>
      <c r="F6" s="34">
        <v>33</v>
      </c>
      <c r="G6" s="34">
        <v>0</v>
      </c>
      <c r="H6" s="34">
        <v>0</v>
      </c>
      <c r="I6" s="34">
        <v>0</v>
      </c>
      <c r="K6" s="266" t="s">
        <v>222</v>
      </c>
      <c r="L6" s="268">
        <f>HLOOKUP(Utslag!B4,I12:O16,4)</f>
        <v>155</v>
      </c>
    </row>
    <row r="7" spans="1:15" x14ac:dyDescent="0.2">
      <c r="A7" s="73" t="s">
        <v>62</v>
      </c>
      <c r="B7" s="207" t="s">
        <v>229</v>
      </c>
      <c r="C7" s="34">
        <v>200</v>
      </c>
      <c r="D7" s="34">
        <v>200</v>
      </c>
      <c r="E7" s="34">
        <v>200</v>
      </c>
      <c r="F7" s="34">
        <v>200</v>
      </c>
      <c r="G7" s="34">
        <v>200</v>
      </c>
      <c r="H7" s="34">
        <v>200</v>
      </c>
      <c r="I7" s="97">
        <v>200</v>
      </c>
      <c r="K7" s="266" t="s">
        <v>221</v>
      </c>
      <c r="L7" s="268">
        <f>L5*L6</f>
        <v>0</v>
      </c>
    </row>
    <row r="8" spans="1:15" x14ac:dyDescent="0.2">
      <c r="A8" s="73" t="s">
        <v>143</v>
      </c>
      <c r="B8" s="207" t="s">
        <v>229</v>
      </c>
      <c r="C8" s="34">
        <v>500</v>
      </c>
      <c r="D8" s="34">
        <v>500</v>
      </c>
      <c r="E8" s="34">
        <v>500</v>
      </c>
      <c r="F8" s="34">
        <v>500</v>
      </c>
      <c r="G8" s="34">
        <v>500</v>
      </c>
      <c r="H8" s="34">
        <v>500</v>
      </c>
      <c r="I8" s="97">
        <v>500</v>
      </c>
    </row>
    <row r="9" spans="1:15" x14ac:dyDescent="0.2">
      <c r="A9" s="74" t="s">
        <v>141</v>
      </c>
      <c r="B9" s="258" t="s">
        <v>229</v>
      </c>
      <c r="C9" s="36">
        <v>300</v>
      </c>
      <c r="D9" s="36">
        <v>300</v>
      </c>
      <c r="E9" s="36">
        <v>300</v>
      </c>
      <c r="F9" s="36">
        <v>300</v>
      </c>
      <c r="G9" s="36">
        <v>300</v>
      </c>
      <c r="H9" s="36">
        <v>300</v>
      </c>
      <c r="I9" s="99">
        <v>300</v>
      </c>
    </row>
    <row r="10" spans="1:15" x14ac:dyDescent="0.2">
      <c r="A10" s="262" t="s">
        <v>78</v>
      </c>
      <c r="B10" s="263"/>
      <c r="C10" s="56">
        <v>7</v>
      </c>
      <c r="D10" s="264">
        <f>$C$10</f>
        <v>7</v>
      </c>
      <c r="E10" s="264">
        <f t="shared" ref="E10:H10" si="0">$C$10</f>
        <v>7</v>
      </c>
      <c r="F10" s="264">
        <f t="shared" si="0"/>
        <v>7</v>
      </c>
      <c r="G10" s="264">
        <f t="shared" si="0"/>
        <v>7</v>
      </c>
      <c r="H10" s="264">
        <f t="shared" si="0"/>
        <v>7</v>
      </c>
      <c r="I10" s="264">
        <f>$C$10</f>
        <v>7</v>
      </c>
    </row>
    <row r="11" spans="1:15" x14ac:dyDescent="0.2">
      <c r="A11" s="1"/>
      <c r="B11" s="2"/>
      <c r="C11" s="1"/>
      <c r="D11" s="1"/>
      <c r="E11" s="1"/>
      <c r="F11" s="1"/>
      <c r="G11" s="1"/>
      <c r="H11" s="1"/>
      <c r="I11" s="1"/>
    </row>
    <row r="12" spans="1:15" x14ac:dyDescent="0.2">
      <c r="A12" s="66"/>
      <c r="B12" s="41" t="s">
        <v>142</v>
      </c>
      <c r="C12" s="42"/>
      <c r="D12" s="42"/>
      <c r="E12" s="68"/>
      <c r="F12" s="5"/>
      <c r="G12" s="5"/>
      <c r="H12" s="268"/>
      <c r="I12" s="269">
        <v>1</v>
      </c>
      <c r="J12" s="269">
        <v>2</v>
      </c>
      <c r="K12" s="269">
        <v>3</v>
      </c>
      <c r="L12" s="269">
        <v>4</v>
      </c>
      <c r="M12" s="269">
        <v>5</v>
      </c>
      <c r="N12" s="269">
        <v>6</v>
      </c>
      <c r="O12" s="270">
        <v>7</v>
      </c>
    </row>
    <row r="13" spans="1:15" x14ac:dyDescent="0.2">
      <c r="A13" s="231" t="s">
        <v>78</v>
      </c>
      <c r="B13" s="228" t="s">
        <v>229</v>
      </c>
      <c r="C13" s="42">
        <f>SUM(Utslag!$B$30:$B$35)+(Utslag!$B$29*0.6)</f>
        <v>0</v>
      </c>
      <c r="D13" s="301">
        <f>C10</f>
        <v>7</v>
      </c>
      <c r="E13" s="265">
        <f>C13*D13</f>
        <v>0</v>
      </c>
      <c r="F13" s="5"/>
      <c r="G13" s="5"/>
      <c r="H13" s="268"/>
      <c r="I13" s="271"/>
      <c r="J13" s="271"/>
      <c r="K13" s="271"/>
      <c r="L13" s="271"/>
      <c r="M13" s="271"/>
      <c r="N13" s="271"/>
      <c r="O13" s="271"/>
    </row>
    <row r="14" spans="1:15" x14ac:dyDescent="0.2">
      <c r="A14" s="73" t="s">
        <v>47</v>
      </c>
      <c r="B14" s="228" t="s">
        <v>229</v>
      </c>
      <c r="C14" s="44">
        <f>L2+(L3*0.6)</f>
        <v>0</v>
      </c>
      <c r="D14" s="44">
        <f>HLOOKUP(Utslag!B4,AKkorn2,2)</f>
        <v>0</v>
      </c>
      <c r="E14" s="80">
        <f>C14*D14</f>
        <v>0</v>
      </c>
      <c r="F14" s="37"/>
      <c r="G14" s="5"/>
      <c r="H14" s="266" t="s">
        <v>219</v>
      </c>
      <c r="I14" s="272">
        <v>0</v>
      </c>
      <c r="J14" s="272">
        <v>0</v>
      </c>
      <c r="K14" s="272">
        <v>85</v>
      </c>
      <c r="L14" s="272">
        <v>85</v>
      </c>
      <c r="M14" s="272">
        <v>225</v>
      </c>
      <c r="N14" s="272">
        <v>225</v>
      </c>
      <c r="O14" s="272">
        <v>301</v>
      </c>
    </row>
    <row r="15" spans="1:15" x14ac:dyDescent="0.2">
      <c r="A15" s="73" t="s">
        <v>50</v>
      </c>
      <c r="B15" s="228" t="s">
        <v>229</v>
      </c>
      <c r="C15" s="229">
        <f>Utslag!$B$32</f>
        <v>0</v>
      </c>
      <c r="D15" s="44">
        <f>HLOOKUP(Utslag!B4,AKkorn2,3)</f>
        <v>98</v>
      </c>
      <c r="E15" s="80">
        <f t="shared" ref="E15:E18" si="1">C15*D15</f>
        <v>0</v>
      </c>
      <c r="F15" s="37"/>
      <c r="G15" s="5"/>
      <c r="H15" s="266" t="s">
        <v>220</v>
      </c>
      <c r="I15" s="272">
        <v>155</v>
      </c>
      <c r="J15" s="272">
        <v>155</v>
      </c>
      <c r="K15" s="272">
        <v>155</v>
      </c>
      <c r="L15" s="272">
        <v>155</v>
      </c>
      <c r="M15" s="272">
        <v>155</v>
      </c>
      <c r="N15" s="272">
        <v>155</v>
      </c>
      <c r="O15" s="272">
        <v>155</v>
      </c>
    </row>
    <row r="16" spans="1:15" x14ac:dyDescent="0.2">
      <c r="A16" s="73" t="s">
        <v>48</v>
      </c>
      <c r="B16" s="228" t="s">
        <v>229</v>
      </c>
      <c r="C16" s="261">
        <f>Utslag!$B$31</f>
        <v>0</v>
      </c>
      <c r="D16" s="44">
        <f>HLOOKUP(Utslag!B4,AKkorn2,4)</f>
        <v>33</v>
      </c>
      <c r="E16" s="80">
        <f t="shared" si="1"/>
        <v>0</v>
      </c>
      <c r="F16" s="37"/>
      <c r="G16" s="5"/>
      <c r="H16" s="266" t="s">
        <v>156</v>
      </c>
      <c r="I16" s="268">
        <f>I14+I15</f>
        <v>155</v>
      </c>
      <c r="J16" s="268">
        <f t="shared" ref="J16:O16" si="2">J14+J15</f>
        <v>155</v>
      </c>
      <c r="K16" s="268">
        <f t="shared" si="2"/>
        <v>240</v>
      </c>
      <c r="L16" s="268">
        <f t="shared" si="2"/>
        <v>240</v>
      </c>
      <c r="M16" s="268">
        <f t="shared" si="2"/>
        <v>380</v>
      </c>
      <c r="N16" s="268">
        <f t="shared" si="2"/>
        <v>380</v>
      </c>
      <c r="O16" s="268">
        <f t="shared" si="2"/>
        <v>456</v>
      </c>
    </row>
    <row r="17" spans="1:16" x14ac:dyDescent="0.2">
      <c r="A17" s="73" t="s">
        <v>62</v>
      </c>
      <c r="B17" s="228" t="s">
        <v>229</v>
      </c>
      <c r="C17" s="261">
        <f>Utslag!$B$33</f>
        <v>0</v>
      </c>
      <c r="D17" s="44">
        <f>HLOOKUP(Utslag!B4,AKkorn2,5)</f>
        <v>200</v>
      </c>
      <c r="E17" s="80">
        <f>C17*D17</f>
        <v>0</v>
      </c>
      <c r="F17" s="39"/>
      <c r="G17" s="5"/>
    </row>
    <row r="18" spans="1:16" x14ac:dyDescent="0.2">
      <c r="A18" s="73" t="s">
        <v>143</v>
      </c>
      <c r="B18" s="228" t="s">
        <v>229</v>
      </c>
      <c r="C18" s="261">
        <f>Utslag!$B$34</f>
        <v>0</v>
      </c>
      <c r="D18" s="44">
        <f>HLOOKUP(Utslag!B4,AKkorn2,6)</f>
        <v>500</v>
      </c>
      <c r="E18" s="80">
        <f t="shared" si="1"/>
        <v>0</v>
      </c>
      <c r="F18" s="39"/>
      <c r="G18" s="5"/>
      <c r="H18" s="1"/>
      <c r="K18" s="182">
        <f>HLOOKUP(Utslag!$B$4,$H$12:$O$16,5)</f>
        <v>155</v>
      </c>
    </row>
    <row r="19" spans="1:16" x14ac:dyDescent="0.2">
      <c r="A19" s="73" t="s">
        <v>141</v>
      </c>
      <c r="B19" s="228" t="s">
        <v>229</v>
      </c>
      <c r="C19" s="261">
        <f>Utslag!$B$35</f>
        <v>0</v>
      </c>
      <c r="D19" s="44">
        <f>HLOOKUP(Utslag!B4,AKkorn2,7)</f>
        <v>300</v>
      </c>
      <c r="E19" s="80">
        <f>C19*D19</f>
        <v>0</v>
      </c>
      <c r="F19" s="17"/>
      <c r="G19" s="5"/>
    </row>
    <row r="20" spans="1:16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5"/>
    </row>
    <row r="21" spans="1:16" x14ac:dyDescent="0.2">
      <c r="B21" s="5"/>
      <c r="C21" s="5"/>
      <c r="D21" s="5"/>
      <c r="E21" s="5"/>
      <c r="F21" s="3"/>
      <c r="G21" s="5"/>
      <c r="H21" s="21"/>
    </row>
    <row r="22" spans="1:16" x14ac:dyDescent="0.2">
      <c r="A22" s="1"/>
      <c r="B22" s="66"/>
      <c r="C22" s="42"/>
      <c r="D22" s="42"/>
      <c r="E22" s="67"/>
      <c r="F22" s="70"/>
      <c r="G22" s="1"/>
      <c r="H22" s="17"/>
    </row>
    <row r="23" spans="1:16" x14ac:dyDescent="0.2">
      <c r="K23" t="s">
        <v>254</v>
      </c>
    </row>
    <row r="24" spans="1:16" x14ac:dyDescent="0.2">
      <c r="B24" s="78" t="s">
        <v>26</v>
      </c>
      <c r="C24" s="50"/>
      <c r="D24" s="50"/>
      <c r="E24" s="50"/>
      <c r="F24" s="50"/>
      <c r="G24" s="87"/>
      <c r="K24" t="s">
        <v>18</v>
      </c>
      <c r="L24">
        <v>1</v>
      </c>
      <c r="M24">
        <v>2</v>
      </c>
      <c r="N24">
        <v>3</v>
      </c>
      <c r="O24">
        <v>4</v>
      </c>
      <c r="P24">
        <v>5</v>
      </c>
    </row>
    <row r="25" spans="1:16" x14ac:dyDescent="0.2">
      <c r="B25" s="71" t="s">
        <v>4</v>
      </c>
      <c r="C25" s="8" t="s">
        <v>27</v>
      </c>
      <c r="D25" s="8" t="s">
        <v>28</v>
      </c>
      <c r="E25" s="4" t="s">
        <v>29</v>
      </c>
      <c r="F25" s="4" t="s">
        <v>30</v>
      </c>
      <c r="G25" s="72" t="s">
        <v>31</v>
      </c>
      <c r="I25" s="159" t="s">
        <v>189</v>
      </c>
      <c r="K25" s="284" t="s">
        <v>143</v>
      </c>
      <c r="L25">
        <v>0.7</v>
      </c>
      <c r="M25">
        <v>0.8</v>
      </c>
      <c r="N25">
        <v>0.8</v>
      </c>
      <c r="O25">
        <v>0.8</v>
      </c>
      <c r="P25">
        <v>1</v>
      </c>
    </row>
    <row r="26" spans="1:16" x14ac:dyDescent="0.2">
      <c r="B26" s="66" t="s">
        <v>39</v>
      </c>
      <c r="C26" s="48">
        <v>4168</v>
      </c>
      <c r="D26" s="49">
        <v>0</v>
      </c>
      <c r="E26" s="257">
        <f>IF(Utslag!B37&lt;17,Utslag!B37,16)</f>
        <v>0</v>
      </c>
      <c r="F26" s="50">
        <f t="shared" ref="F26:F32" si="3">C26*E26</f>
        <v>0</v>
      </c>
      <c r="G26" s="87">
        <f t="shared" ref="G26:G32" si="4">D26*E26</f>
        <v>0</v>
      </c>
      <c r="I26">
        <f>IF('Ark18'!C10&gt;0,IF('Ark18'!C10+'Ark18'!C11&lt;17,'Ark18'!C10+'Ark18'!C11,16),0)</f>
        <v>0</v>
      </c>
      <c r="K26" t="s">
        <v>141</v>
      </c>
      <c r="L26">
        <v>0.4</v>
      </c>
      <c r="M26">
        <v>0.6</v>
      </c>
      <c r="N26">
        <v>0.6</v>
      </c>
      <c r="O26">
        <v>0.6</v>
      </c>
      <c r="P26">
        <v>0.6</v>
      </c>
    </row>
    <row r="27" spans="1:16" x14ac:dyDescent="0.2">
      <c r="B27" s="73" t="s">
        <v>24</v>
      </c>
      <c r="C27" s="51">
        <v>2022</v>
      </c>
      <c r="D27" s="52">
        <v>0</v>
      </c>
      <c r="E27" s="5">
        <f>IF(Utslag!$B$37&lt;17,0,IF(Utslag!$B$37&lt;26,Utslag!$B$37-16,9))</f>
        <v>0</v>
      </c>
      <c r="F27" s="50">
        <f t="shared" si="3"/>
        <v>0</v>
      </c>
      <c r="G27" s="87">
        <f t="shared" si="4"/>
        <v>0</v>
      </c>
      <c r="I27">
        <f>IF('Ark18'!C10&gt;0,IF('Ark18'!C10+'Ark18'!C11&lt;17,0,IF('Ark18'!C10+'Ark18'!C11&lt;26,'Ark18'!C10+'Ark18'!C11-16,9)),0)</f>
        <v>0</v>
      </c>
    </row>
    <row r="28" spans="1:16" x14ac:dyDescent="0.2">
      <c r="B28" s="73" t="s">
        <v>40</v>
      </c>
      <c r="C28" s="51">
        <v>976</v>
      </c>
      <c r="D28" s="52">
        <v>0</v>
      </c>
      <c r="E28" s="5">
        <f>IF(Utslag!B37&lt;26,0,IF(Utslag!B37&lt;51,Utslag!B37-25,25))</f>
        <v>0</v>
      </c>
      <c r="F28" s="17">
        <f t="shared" si="3"/>
        <v>0</v>
      </c>
      <c r="G28" s="88">
        <f t="shared" si="4"/>
        <v>0</v>
      </c>
    </row>
    <row r="29" spans="1:16" x14ac:dyDescent="0.2">
      <c r="B29" s="278" t="s">
        <v>283</v>
      </c>
      <c r="C29" s="51">
        <v>0</v>
      </c>
      <c r="D29" s="52">
        <v>4168</v>
      </c>
      <c r="E29" s="257">
        <f>IF(Utslag!B37&lt;15,Utslag!B37,14)</f>
        <v>0</v>
      </c>
      <c r="F29" s="50">
        <f t="shared" si="3"/>
        <v>0</v>
      </c>
      <c r="G29" s="87">
        <f t="shared" si="4"/>
        <v>0</v>
      </c>
    </row>
    <row r="30" spans="1:16" x14ac:dyDescent="0.2">
      <c r="B30" s="231" t="s">
        <v>284</v>
      </c>
      <c r="C30" s="51">
        <v>0</v>
      </c>
      <c r="D30" s="52">
        <v>2562</v>
      </c>
      <c r="E30" s="5">
        <f>IF(Utslag!$B$37&lt;15,0,IF(Utslag!$B$37&lt;30,Utslag!$B$37-14,16))</f>
        <v>0</v>
      </c>
      <c r="F30" s="50">
        <f t="shared" si="3"/>
        <v>0</v>
      </c>
      <c r="G30" s="87">
        <f t="shared" si="4"/>
        <v>0</v>
      </c>
    </row>
    <row r="31" spans="1:16" x14ac:dyDescent="0.2">
      <c r="B31" s="231" t="s">
        <v>285</v>
      </c>
      <c r="C31" s="51">
        <v>0</v>
      </c>
      <c r="D31" s="52">
        <v>1100</v>
      </c>
      <c r="E31" s="5">
        <f>IF(Utslag!B37&lt;31,0,IF(Utslag!B37&lt;51,Utslag!B37-30,20))</f>
        <v>0</v>
      </c>
      <c r="F31" s="17">
        <f t="shared" si="3"/>
        <v>0</v>
      </c>
      <c r="G31" s="88">
        <f t="shared" si="4"/>
        <v>0</v>
      </c>
    </row>
    <row r="32" spans="1:16" x14ac:dyDescent="0.2">
      <c r="B32" s="275" t="s">
        <v>211</v>
      </c>
      <c r="C32" s="273">
        <v>780</v>
      </c>
      <c r="D32" s="274">
        <v>770</v>
      </c>
      <c r="E32" s="3">
        <f>IF(Utslag!B37&lt;51,0,Utslag!B37-50)</f>
        <v>0</v>
      </c>
      <c r="F32" s="9">
        <f t="shared" si="3"/>
        <v>0</v>
      </c>
      <c r="G32" s="75">
        <f t="shared" si="4"/>
        <v>0</v>
      </c>
      <c r="I32">
        <f>IF('Ark18'!C10&gt;0,IF('Ark18'!C10+'Ark18'!C11&lt;26,0,IF('Ark18'!C10+'Ark18'!C11&lt;51,'Ark18'!C10+'Ark18'!C11-25,25)),0)</f>
        <v>0</v>
      </c>
    </row>
    <row r="33" spans="2:18" x14ac:dyDescent="0.2">
      <c r="B33" s="76"/>
      <c r="C33" s="51"/>
      <c r="D33" s="52"/>
      <c r="E33" s="17"/>
      <c r="F33" s="17"/>
      <c r="G33" s="88"/>
    </row>
    <row r="34" spans="2:18" x14ac:dyDescent="0.2">
      <c r="B34" s="78" t="s">
        <v>6</v>
      </c>
      <c r="C34" s="48"/>
      <c r="D34" s="49"/>
      <c r="E34" s="50"/>
      <c r="F34" s="50"/>
      <c r="G34" s="87"/>
      <c r="K34" t="s">
        <v>143</v>
      </c>
      <c r="L34" s="283">
        <f>Utslag!B25</f>
        <v>0</v>
      </c>
      <c r="M34">
        <f>HLOOKUP(Utslag!$B$4,$K$24:$P$26,2)</f>
        <v>0.7</v>
      </c>
      <c r="N34">
        <f>L34*M34</f>
        <v>0</v>
      </c>
    </row>
    <row r="35" spans="2:18" x14ac:dyDescent="0.2">
      <c r="B35" s="73"/>
      <c r="C35" s="51">
        <v>780</v>
      </c>
      <c r="D35" s="52">
        <v>770</v>
      </c>
      <c r="E35" s="276">
        <f>Utslag!B39</f>
        <v>0</v>
      </c>
      <c r="F35" s="17">
        <f>C35*E35</f>
        <v>0</v>
      </c>
      <c r="G35" s="88">
        <f>D35*E35</f>
        <v>0</v>
      </c>
      <c r="K35" t="s">
        <v>141</v>
      </c>
      <c r="L35" s="283">
        <f>Utslag!B26</f>
        <v>0</v>
      </c>
      <c r="M35">
        <f>HLOOKUP(Utslag!$B$4,$K$24:$P$26,2)</f>
        <v>0.7</v>
      </c>
      <c r="N35">
        <f>L35*M35</f>
        <v>0</v>
      </c>
    </row>
    <row r="36" spans="2:18" x14ac:dyDescent="0.2">
      <c r="B36" s="73"/>
      <c r="C36" s="51"/>
      <c r="D36" s="52"/>
      <c r="E36" s="17"/>
      <c r="F36" s="17"/>
      <c r="G36" s="88"/>
      <c r="N36">
        <f>N34+N35</f>
        <v>0</v>
      </c>
    </row>
    <row r="37" spans="2:18" x14ac:dyDescent="0.2">
      <c r="B37" s="78" t="s">
        <v>7</v>
      </c>
      <c r="C37" s="48"/>
      <c r="D37" s="49"/>
      <c r="E37" s="50"/>
      <c r="F37" s="50"/>
      <c r="G37" s="87"/>
    </row>
    <row r="38" spans="2:18" x14ac:dyDescent="0.2">
      <c r="B38" s="73" t="s">
        <v>41</v>
      </c>
      <c r="C38" s="51">
        <v>1462</v>
      </c>
      <c r="D38" s="52">
        <v>1462</v>
      </c>
      <c r="E38" s="5">
        <f>IF(Utslag!B40&lt;125,Utslag!B40,125)</f>
        <v>0</v>
      </c>
      <c r="F38" s="17">
        <f>C38*E38</f>
        <v>0</v>
      </c>
      <c r="G38" s="88">
        <f>D38*E38</f>
        <v>0</v>
      </c>
      <c r="K38" s="180" t="s">
        <v>18</v>
      </c>
      <c r="L38">
        <v>1</v>
      </c>
      <c r="M38">
        <v>2</v>
      </c>
      <c r="N38">
        <v>3</v>
      </c>
      <c r="O38">
        <v>4</v>
      </c>
      <c r="P38">
        <v>5</v>
      </c>
      <c r="Q38">
        <v>6</v>
      </c>
      <c r="R38">
        <v>7</v>
      </c>
    </row>
    <row r="39" spans="2:18" x14ac:dyDescent="0.2">
      <c r="B39" s="232" t="s">
        <v>212</v>
      </c>
      <c r="C39" s="53">
        <v>538</v>
      </c>
      <c r="D39" s="30">
        <v>538</v>
      </c>
      <c r="E39" s="3">
        <f>IF(Utslag!B40&gt;250,125,IF(Utslag!B40&gt;125,Utslag!B40-125,0))</f>
        <v>0</v>
      </c>
      <c r="F39" s="9">
        <f>C39*E39</f>
        <v>0</v>
      </c>
      <c r="G39" s="75">
        <f>D39*E39</f>
        <v>0</v>
      </c>
      <c r="K39" s="180" t="s">
        <v>265</v>
      </c>
      <c r="L39">
        <v>0</v>
      </c>
      <c r="M39">
        <v>0</v>
      </c>
      <c r="N39">
        <v>0</v>
      </c>
      <c r="O39">
        <v>0</v>
      </c>
      <c r="P39">
        <v>5000</v>
      </c>
      <c r="Q39">
        <v>5000</v>
      </c>
      <c r="R39">
        <v>5000</v>
      </c>
    </row>
    <row r="40" spans="2:18" x14ac:dyDescent="0.2">
      <c r="B40" s="231"/>
      <c r="C40" s="51"/>
      <c r="D40" s="52"/>
      <c r="E40" s="5"/>
      <c r="F40" s="17"/>
      <c r="G40" s="88"/>
    </row>
    <row r="41" spans="2:18" x14ac:dyDescent="0.2">
      <c r="B41" s="78" t="s">
        <v>146</v>
      </c>
      <c r="C41" s="43"/>
      <c r="D41" s="49"/>
      <c r="E41" s="50"/>
      <c r="F41" s="50"/>
      <c r="G41" s="87"/>
      <c r="M41" s="182">
        <f>HLOOKUP(Utslag!$B$4,$K$38:$R$39,2)</f>
        <v>0</v>
      </c>
    </row>
    <row r="42" spans="2:18" x14ac:dyDescent="0.2">
      <c r="B42" s="231" t="s">
        <v>231</v>
      </c>
      <c r="C42" s="15">
        <v>868</v>
      </c>
      <c r="D42" s="52">
        <v>868</v>
      </c>
      <c r="E42" s="5">
        <f>IF(Utslag!B41&lt;126,Utslag!B41,126)</f>
        <v>0</v>
      </c>
      <c r="F42" s="17">
        <f t="shared" ref="F42:F43" si="5">C42*E42</f>
        <v>0</v>
      </c>
      <c r="G42" s="88">
        <f t="shared" ref="G42:G43" si="6">D42*E42</f>
        <v>0</v>
      </c>
    </row>
    <row r="43" spans="2:18" x14ac:dyDescent="0.2">
      <c r="B43" s="231" t="s">
        <v>232</v>
      </c>
      <c r="C43" s="15">
        <v>194</v>
      </c>
      <c r="D43" s="52">
        <v>194</v>
      </c>
      <c r="E43" s="5">
        <f>IF(Utslag!B41&lt;126,0,Utslag!B41-126)</f>
        <v>0</v>
      </c>
      <c r="F43" s="17">
        <f t="shared" si="5"/>
        <v>0</v>
      </c>
      <c r="G43" s="88">
        <f t="shared" si="6"/>
        <v>0</v>
      </c>
    </row>
    <row r="44" spans="2:18" x14ac:dyDescent="0.2">
      <c r="B44" s="78" t="s">
        <v>188</v>
      </c>
      <c r="C44" s="43"/>
      <c r="D44" s="49"/>
      <c r="E44" s="50"/>
      <c r="F44" s="50"/>
      <c r="G44" s="87"/>
      <c r="I44" t="s">
        <v>189</v>
      </c>
      <c r="K44" s="180" t="s">
        <v>18</v>
      </c>
      <c r="L44">
        <v>1</v>
      </c>
      <c r="M44">
        <v>2</v>
      </c>
      <c r="N44">
        <v>3</v>
      </c>
      <c r="O44">
        <v>4</v>
      </c>
      <c r="P44">
        <v>5</v>
      </c>
      <c r="Q44">
        <v>6</v>
      </c>
      <c r="R44">
        <v>7</v>
      </c>
    </row>
    <row r="45" spans="2:18" x14ac:dyDescent="0.2">
      <c r="B45" s="277" t="s">
        <v>234</v>
      </c>
      <c r="C45" s="15">
        <v>3880</v>
      </c>
      <c r="D45" s="54">
        <v>3880</v>
      </c>
      <c r="E45" s="5">
        <f>IF(Utslag!B38&lt;50,Utslag!B38,50)</f>
        <v>0</v>
      </c>
      <c r="F45" s="17">
        <f>C45*E45</f>
        <v>0</v>
      </c>
      <c r="G45" s="88">
        <f>D45*E45</f>
        <v>0</v>
      </c>
      <c r="I45">
        <f>IF($I$26&gt;0,0,E45)</f>
        <v>0</v>
      </c>
      <c r="K45" s="180" t="s">
        <v>273</v>
      </c>
      <c r="L45">
        <v>0</v>
      </c>
      <c r="M45">
        <v>0</v>
      </c>
      <c r="N45">
        <v>0</v>
      </c>
      <c r="O45">
        <v>0</v>
      </c>
      <c r="P45">
        <v>16000</v>
      </c>
      <c r="Q45">
        <v>16000</v>
      </c>
      <c r="R45">
        <v>16000</v>
      </c>
    </row>
    <row r="46" spans="2:18" x14ac:dyDescent="0.2">
      <c r="B46" s="231" t="s">
        <v>233</v>
      </c>
      <c r="C46" s="15">
        <v>780</v>
      </c>
      <c r="D46" s="54">
        <v>770</v>
      </c>
      <c r="E46" s="5">
        <f>IF(Utslag!B38&lt;50,0,IF(Utslag!B38&gt;50,Utslag!B38-50))</f>
        <v>0</v>
      </c>
      <c r="F46" s="17">
        <f>C46*E46</f>
        <v>0</v>
      </c>
      <c r="G46" s="88">
        <f>D46*E46</f>
        <v>0</v>
      </c>
      <c r="I46">
        <f>IF($I$26&gt;0,0,E46)</f>
        <v>0</v>
      </c>
    </row>
    <row r="47" spans="2:18" x14ac:dyDescent="0.2">
      <c r="B47" s="76"/>
      <c r="C47" s="15"/>
      <c r="D47" s="54"/>
      <c r="E47" s="17"/>
      <c r="F47" s="17"/>
      <c r="G47" s="88"/>
      <c r="M47" s="182">
        <f>HLOOKUP(Utslag!$B$4,$K$44:$R$45,2)</f>
        <v>0</v>
      </c>
    </row>
    <row r="48" spans="2:18" x14ac:dyDescent="0.2">
      <c r="B48" s="78" t="s">
        <v>10</v>
      </c>
      <c r="C48" s="43"/>
      <c r="D48" s="49"/>
      <c r="E48" s="50"/>
      <c r="F48" s="50"/>
      <c r="G48" s="87"/>
    </row>
    <row r="49" spans="2:7" x14ac:dyDescent="0.2">
      <c r="B49" s="91" t="s">
        <v>95</v>
      </c>
      <c r="C49" s="15">
        <v>498</v>
      </c>
      <c r="D49" s="52">
        <v>498</v>
      </c>
      <c r="E49" s="279"/>
      <c r="F49" s="17">
        <f>C49*E49</f>
        <v>0</v>
      </c>
      <c r="G49" s="88">
        <f>D49*E49</f>
        <v>0</v>
      </c>
    </row>
    <row r="50" spans="2:7" x14ac:dyDescent="0.2">
      <c r="B50" s="278" t="s">
        <v>235</v>
      </c>
      <c r="C50" s="15">
        <v>350</v>
      </c>
      <c r="D50" s="52">
        <v>350</v>
      </c>
      <c r="E50" s="183"/>
      <c r="F50" s="17"/>
      <c r="G50" s="88"/>
    </row>
    <row r="51" spans="2:7" x14ac:dyDescent="0.2">
      <c r="B51" s="91" t="s">
        <v>96</v>
      </c>
      <c r="C51" s="15">
        <v>776</v>
      </c>
      <c r="D51" s="52">
        <v>776</v>
      </c>
      <c r="E51" s="5"/>
      <c r="F51" s="17">
        <f>C51*E51</f>
        <v>0</v>
      </c>
      <c r="G51" s="88">
        <f>D51*E51</f>
        <v>0</v>
      </c>
    </row>
    <row r="52" spans="2:7" x14ac:dyDescent="0.2">
      <c r="B52" s="73"/>
      <c r="C52" s="15"/>
      <c r="D52" s="52"/>
      <c r="E52" s="17"/>
      <c r="F52" s="17"/>
      <c r="G52" s="88"/>
    </row>
    <row r="53" spans="2:7" x14ac:dyDescent="0.2">
      <c r="B53" s="78" t="s">
        <v>11</v>
      </c>
      <c r="C53" s="43"/>
      <c r="D53" s="49"/>
      <c r="E53" s="50"/>
      <c r="F53" s="50"/>
      <c r="G53" s="87"/>
    </row>
    <row r="54" spans="2:7" x14ac:dyDescent="0.2">
      <c r="B54" s="91" t="s">
        <v>53</v>
      </c>
      <c r="C54" s="15">
        <v>14</v>
      </c>
      <c r="D54" s="52">
        <v>14</v>
      </c>
      <c r="E54" s="17"/>
      <c r="F54" s="17">
        <f>C54*E54</f>
        <v>0</v>
      </c>
      <c r="G54" s="88">
        <f>D54*E54</f>
        <v>0</v>
      </c>
    </row>
    <row r="55" spans="2:7" x14ac:dyDescent="0.2">
      <c r="B55" s="231" t="s">
        <v>236</v>
      </c>
      <c r="C55" s="15">
        <v>10</v>
      </c>
      <c r="D55" s="52">
        <v>10</v>
      </c>
      <c r="E55" s="279"/>
      <c r="F55" s="17">
        <f>C55*E55</f>
        <v>0</v>
      </c>
      <c r="G55" s="88">
        <f>D55*E55</f>
        <v>0</v>
      </c>
    </row>
    <row r="56" spans="2:7" x14ac:dyDescent="0.2">
      <c r="B56" s="91"/>
      <c r="C56" s="15"/>
      <c r="D56" s="52"/>
      <c r="E56" s="17"/>
      <c r="F56" s="17"/>
      <c r="G56" s="88"/>
    </row>
    <row r="57" spans="2:7" x14ac:dyDescent="0.2">
      <c r="B57" s="78" t="s">
        <v>12</v>
      </c>
      <c r="C57" s="43"/>
      <c r="D57" s="49"/>
      <c r="E57" s="50"/>
      <c r="F57" s="50"/>
      <c r="G57" s="87"/>
    </row>
    <row r="58" spans="2:7" x14ac:dyDescent="0.2">
      <c r="B58" s="73" t="s">
        <v>101</v>
      </c>
      <c r="C58" s="15">
        <v>10</v>
      </c>
      <c r="D58" s="52">
        <v>10</v>
      </c>
      <c r="E58" s="5"/>
      <c r="F58" s="17"/>
      <c r="G58" s="88"/>
    </row>
    <row r="59" spans="2:7" x14ac:dyDescent="0.2">
      <c r="B59" s="73" t="s">
        <v>102</v>
      </c>
      <c r="C59" s="15">
        <v>24</v>
      </c>
      <c r="D59" s="52">
        <v>24</v>
      </c>
      <c r="E59" s="5"/>
      <c r="F59" s="17"/>
      <c r="G59" s="88"/>
    </row>
    <row r="60" spans="2:7" x14ac:dyDescent="0.2">
      <c r="B60" s="76" t="s">
        <v>103</v>
      </c>
      <c r="C60" s="15">
        <v>10</v>
      </c>
      <c r="D60" s="52">
        <v>10</v>
      </c>
      <c r="E60" s="17"/>
      <c r="F60" s="17"/>
      <c r="G60" s="88"/>
    </row>
    <row r="61" spans="2:7" x14ac:dyDescent="0.2">
      <c r="B61" s="103" t="s">
        <v>208</v>
      </c>
      <c r="C61" s="56">
        <v>287</v>
      </c>
      <c r="D61" s="57">
        <v>400</v>
      </c>
      <c r="E61" s="280">
        <f>Utslag!B46</f>
        <v>0</v>
      </c>
      <c r="F61" s="58">
        <f t="shared" ref="F61" si="7">C61*E61</f>
        <v>0</v>
      </c>
      <c r="G61" s="104">
        <f t="shared" ref="G61" si="8">D61*E61</f>
        <v>0</v>
      </c>
    </row>
    <row r="62" spans="2:7" x14ac:dyDescent="0.2">
      <c r="B62" s="282" t="s">
        <v>243</v>
      </c>
      <c r="C62" s="15">
        <v>473</v>
      </c>
      <c r="D62" s="52">
        <v>550</v>
      </c>
      <c r="E62" s="165">
        <f>Utslag!B47</f>
        <v>0</v>
      </c>
      <c r="F62" s="58">
        <f t="shared" ref="F62" si="9">C62*E62</f>
        <v>0</v>
      </c>
      <c r="G62" s="104">
        <f t="shared" ref="G62" si="10">D62*E62</f>
        <v>0</v>
      </c>
    </row>
    <row r="63" spans="2:7" x14ac:dyDescent="0.2">
      <c r="B63" s="281" t="s">
        <v>237</v>
      </c>
      <c r="C63" s="56"/>
      <c r="D63" s="57"/>
      <c r="E63" s="56"/>
      <c r="F63" s="58">
        <f t="shared" ref="F63:F67" si="11">C63*E63</f>
        <v>0</v>
      </c>
      <c r="G63" s="104">
        <f t="shared" ref="G63:G67" si="12">D63*E63</f>
        <v>0</v>
      </c>
    </row>
    <row r="64" spans="2:7" x14ac:dyDescent="0.2">
      <c r="B64" s="231" t="s">
        <v>6</v>
      </c>
      <c r="C64" s="15">
        <v>3000</v>
      </c>
      <c r="D64" s="52">
        <v>3260</v>
      </c>
      <c r="E64" s="328">
        <f>Utslag!$B$53</f>
        <v>0</v>
      </c>
      <c r="F64" s="58">
        <f>C64*E64</f>
        <v>0</v>
      </c>
      <c r="G64" s="104">
        <f>D64*E64</f>
        <v>0</v>
      </c>
    </row>
    <row r="65" spans="2:11" x14ac:dyDescent="0.2">
      <c r="B65" s="231" t="s">
        <v>81</v>
      </c>
      <c r="C65" s="15">
        <v>230</v>
      </c>
      <c r="D65" s="52">
        <v>300</v>
      </c>
      <c r="E65" s="328">
        <f>Utslag!$B$54</f>
        <v>0</v>
      </c>
      <c r="F65" s="58">
        <f t="shared" si="11"/>
        <v>0</v>
      </c>
      <c r="G65" s="104">
        <f>D65*E65</f>
        <v>0</v>
      </c>
    </row>
    <row r="66" spans="2:11" x14ac:dyDescent="0.2">
      <c r="B66" s="231" t="s">
        <v>56</v>
      </c>
      <c r="C66" s="26">
        <v>530</v>
      </c>
      <c r="D66" s="230">
        <v>600</v>
      </c>
      <c r="E66" s="165">
        <f>Utslag!$B$55</f>
        <v>0</v>
      </c>
      <c r="F66" s="58">
        <f t="shared" si="11"/>
        <v>0</v>
      </c>
      <c r="G66" s="104">
        <f t="shared" si="12"/>
        <v>0</v>
      </c>
    </row>
    <row r="67" spans="2:11" x14ac:dyDescent="0.2">
      <c r="B67" s="232" t="s">
        <v>60</v>
      </c>
      <c r="C67" s="47">
        <v>1030</v>
      </c>
      <c r="D67" s="274">
        <v>1100</v>
      </c>
      <c r="E67" s="280">
        <f>Utslag!$B$56</f>
        <v>0</v>
      </c>
      <c r="F67" s="58">
        <f t="shared" si="11"/>
        <v>0</v>
      </c>
      <c r="G67" s="104">
        <f t="shared" si="12"/>
        <v>0</v>
      </c>
    </row>
    <row r="68" spans="2:11" x14ac:dyDescent="0.2">
      <c r="B68" s="282"/>
      <c r="C68" s="17"/>
      <c r="D68" s="17"/>
      <c r="E68" s="17"/>
      <c r="F68" s="59">
        <f>SUM(F26:F67)</f>
        <v>0</v>
      </c>
      <c r="G68" s="105">
        <f>SUM(G26:G67)</f>
        <v>0</v>
      </c>
    </row>
    <row r="69" spans="2:11" x14ac:dyDescent="0.2">
      <c r="B69" s="74" t="s">
        <v>32</v>
      </c>
      <c r="C69" s="106">
        <v>560000</v>
      </c>
      <c r="D69" s="106">
        <v>560000</v>
      </c>
      <c r="E69" s="9"/>
      <c r="F69" s="9" t="s">
        <v>33</v>
      </c>
      <c r="G69" s="75" t="s">
        <v>34</v>
      </c>
      <c r="H69" s="290" t="s">
        <v>32</v>
      </c>
      <c r="I69" s="291">
        <v>280000</v>
      </c>
      <c r="J69" s="292">
        <v>560000</v>
      </c>
      <c r="K69" s="293"/>
    </row>
    <row r="70" spans="2:11" x14ac:dyDescent="0.2">
      <c r="B70" s="284" t="s">
        <v>191</v>
      </c>
      <c r="C70" s="285"/>
      <c r="D70" s="285"/>
      <c r="E70" s="285"/>
      <c r="F70" s="285">
        <f>IF(F68&gt;C69,C69,F68)</f>
        <v>0</v>
      </c>
      <c r="G70" s="285">
        <f>IF(G68&gt;D69,D69,G68)</f>
        <v>0</v>
      </c>
      <c r="H70" s="290" t="s">
        <v>58</v>
      </c>
      <c r="I70" s="293"/>
      <c r="J70" s="293"/>
      <c r="K70" s="293"/>
    </row>
    <row r="71" spans="2:11" x14ac:dyDescent="0.2">
      <c r="B71" s="33"/>
      <c r="C71" s="286"/>
      <c r="D71" s="286"/>
      <c r="E71" s="286"/>
      <c r="F71" s="285"/>
      <c r="G71" s="285"/>
      <c r="H71" s="294"/>
      <c r="I71" s="293"/>
      <c r="J71" s="293"/>
      <c r="K71" s="293"/>
    </row>
    <row r="72" spans="2:11" x14ac:dyDescent="0.2">
      <c r="B72" s="286">
        <v>1</v>
      </c>
      <c r="C72" s="287">
        <f>IF(AND(F68&lt;$C$69,G68&lt;D69),G68-F68,0)</f>
        <v>0</v>
      </c>
      <c r="D72" s="288" t="s">
        <v>238</v>
      </c>
      <c r="E72" s="286"/>
      <c r="F72" s="286"/>
      <c r="G72" s="286"/>
      <c r="H72" s="293">
        <v>1</v>
      </c>
      <c r="I72" s="295">
        <f>IF(AND(F68&lt;$I$69,G68&lt;$J$69),0,0)</f>
        <v>0</v>
      </c>
      <c r="J72" s="293"/>
      <c r="K72" s="293"/>
    </row>
    <row r="73" spans="2:11" x14ac:dyDescent="0.2">
      <c r="B73" s="286">
        <v>2</v>
      </c>
      <c r="C73" s="286">
        <f>IF(AND(F68&lt;C69,G68&gt;D69),(D69-F68),0)</f>
        <v>0</v>
      </c>
      <c r="D73" s="286" t="s">
        <v>35</v>
      </c>
      <c r="E73" s="286"/>
      <c r="F73" s="286"/>
      <c r="G73" s="286"/>
      <c r="H73" s="293">
        <v>2</v>
      </c>
      <c r="I73" s="293">
        <f>IF(AND(F68&lt;I69,G68&gt;J69),(J69-F68),0)</f>
        <v>0</v>
      </c>
      <c r="J73" s="293" t="s">
        <v>35</v>
      </c>
      <c r="K73" s="293"/>
    </row>
    <row r="74" spans="2:11" x14ac:dyDescent="0.2">
      <c r="B74" s="286">
        <v>3</v>
      </c>
      <c r="C74" s="286">
        <f>IF(AND(F68&gt;C69,G68&gt;D69),(D69-C69),0)</f>
        <v>0</v>
      </c>
      <c r="D74" s="286" t="s">
        <v>36</v>
      </c>
      <c r="E74" s="286"/>
      <c r="F74" s="286"/>
      <c r="G74" s="286"/>
      <c r="H74" s="293">
        <v>3</v>
      </c>
      <c r="I74" s="296">
        <f>IF(AND(F68&gt;I69,G68&gt;J69),(J69-I69),0)</f>
        <v>0</v>
      </c>
      <c r="J74" s="293" t="s">
        <v>36</v>
      </c>
      <c r="K74" s="293"/>
    </row>
    <row r="75" spans="2:11" x14ac:dyDescent="0.2">
      <c r="B75" s="289">
        <v>4</v>
      </c>
      <c r="C75" s="289">
        <f>IF(AND(F68&gt;C69,G68&lt;D69),(G68-C69),0)</f>
        <v>0</v>
      </c>
      <c r="D75" s="286" t="s">
        <v>37</v>
      </c>
      <c r="E75" s="286"/>
      <c r="F75" s="286"/>
      <c r="G75" s="286"/>
      <c r="H75" s="294">
        <v>4</v>
      </c>
      <c r="I75" s="294">
        <f>IF(AND(F68&gt;I69,G68&lt;J69),(G68-I69),0)</f>
        <v>0</v>
      </c>
      <c r="J75" s="293" t="s">
        <v>37</v>
      </c>
      <c r="K75" s="293"/>
    </row>
    <row r="76" spans="2:11" x14ac:dyDescent="0.2">
      <c r="C76" s="2">
        <f>SUM(C72:C75)</f>
        <v>0</v>
      </c>
      <c r="H76" s="293"/>
      <c r="I76" s="297">
        <f>SUM(I72:I75)</f>
        <v>0</v>
      </c>
      <c r="J76" s="293"/>
      <c r="K76" s="293"/>
    </row>
    <row r="77" spans="2:11" x14ac:dyDescent="0.2">
      <c r="C77" s="2"/>
      <c r="I77" s="20"/>
    </row>
    <row r="78" spans="2:11" x14ac:dyDescent="0.2">
      <c r="B78" s="180" t="s">
        <v>214</v>
      </c>
      <c r="C78" s="2">
        <f>'Ark18'!C15*-210</f>
        <v>0</v>
      </c>
      <c r="D78">
        <f>IF(('Ark18'!C14+'Ark18'!C15)&lt;101,800*'Ark18'!C15,250*'Ark18'!C15)</f>
        <v>0</v>
      </c>
      <c r="E78">
        <f>D78+C78</f>
        <v>0</v>
      </c>
      <c r="I78" s="20"/>
    </row>
    <row r="79" spans="2:11" x14ac:dyDescent="0.2">
      <c r="B79" s="16"/>
      <c r="C79" s="17"/>
      <c r="D79" s="17"/>
      <c r="E79" s="17"/>
      <c r="F79" s="17"/>
      <c r="G79" s="17"/>
      <c r="H79" s="17"/>
      <c r="I79" s="17"/>
    </row>
    <row r="80" spans="2:11" ht="14.25" x14ac:dyDescent="0.2">
      <c r="B80" s="29" t="s">
        <v>126</v>
      </c>
      <c r="C80" s="17"/>
      <c r="D80" s="166">
        <f>G70-F70</f>
        <v>0</v>
      </c>
      <c r="E80" s="17"/>
      <c r="F80" s="17"/>
      <c r="G80" s="17"/>
      <c r="H80" s="17"/>
      <c r="I80" s="17"/>
    </row>
    <row r="82" spans="2:7" x14ac:dyDescent="0.2">
      <c r="B82" s="78" t="s">
        <v>43</v>
      </c>
      <c r="C82" s="50"/>
      <c r="D82" s="50"/>
      <c r="E82" s="50"/>
      <c r="F82" s="41" t="s">
        <v>130</v>
      </c>
      <c r="G82" s="87"/>
    </row>
    <row r="83" spans="2:7" x14ac:dyDescent="0.2">
      <c r="B83" s="69" t="s">
        <v>4</v>
      </c>
      <c r="C83" s="59" t="s">
        <v>27</v>
      </c>
      <c r="D83" s="59" t="s">
        <v>239</v>
      </c>
      <c r="E83" s="6" t="s">
        <v>29</v>
      </c>
      <c r="F83" s="6" t="s">
        <v>30</v>
      </c>
      <c r="G83" s="79" t="s">
        <v>31</v>
      </c>
    </row>
    <row r="84" spans="2:7" x14ac:dyDescent="0.2">
      <c r="B84" s="251" t="s">
        <v>225</v>
      </c>
      <c r="C84" s="48">
        <v>3557</v>
      </c>
      <c r="D84" s="155">
        <v>3771</v>
      </c>
      <c r="E84" s="250">
        <f>Utslag!B37</f>
        <v>0</v>
      </c>
      <c r="F84" s="49">
        <f>C84*E84</f>
        <v>0</v>
      </c>
      <c r="G84" s="107">
        <f>D84*E84</f>
        <v>0</v>
      </c>
    </row>
    <row r="85" spans="2:7" x14ac:dyDescent="0.2">
      <c r="B85" s="73"/>
      <c r="C85" s="51"/>
      <c r="D85" s="51"/>
      <c r="E85" s="17"/>
      <c r="F85" s="52"/>
      <c r="G85" s="108"/>
    </row>
    <row r="86" spans="2:7" x14ac:dyDescent="0.2">
      <c r="B86" s="69" t="s">
        <v>6</v>
      </c>
      <c r="C86" s="51"/>
      <c r="D86" s="51"/>
      <c r="E86" s="17"/>
      <c r="F86" s="52"/>
      <c r="G86" s="108"/>
    </row>
    <row r="87" spans="2:7" x14ac:dyDescent="0.2">
      <c r="B87" s="73" t="s">
        <v>110</v>
      </c>
      <c r="C87" s="51">
        <v>593</v>
      </c>
      <c r="D87" s="155">
        <v>628</v>
      </c>
      <c r="E87" s="165">
        <f>Utslag!B39</f>
        <v>0</v>
      </c>
      <c r="F87" s="52">
        <f>C87*E87</f>
        <v>0</v>
      </c>
      <c r="G87" s="108">
        <f>D87*E87</f>
        <v>0</v>
      </c>
    </row>
    <row r="88" spans="2:7" x14ac:dyDescent="0.2">
      <c r="B88" s="73"/>
      <c r="C88" s="51"/>
      <c r="D88" s="51"/>
      <c r="E88" s="17"/>
      <c r="F88" s="52"/>
      <c r="G88" s="108"/>
    </row>
    <row r="89" spans="2:7" x14ac:dyDescent="0.2">
      <c r="B89" s="69" t="s">
        <v>136</v>
      </c>
      <c r="C89" s="51"/>
      <c r="D89" s="51"/>
      <c r="E89" s="17"/>
      <c r="F89" s="52"/>
      <c r="G89" s="108"/>
    </row>
    <row r="90" spans="2:7" x14ac:dyDescent="0.2">
      <c r="B90" s="231" t="s">
        <v>110</v>
      </c>
      <c r="C90" s="51">
        <v>820</v>
      </c>
      <c r="D90" s="155">
        <v>869</v>
      </c>
      <c r="E90" s="165">
        <f>Utslag!B40</f>
        <v>0</v>
      </c>
      <c r="F90" s="52">
        <f>C90*E90</f>
        <v>0</v>
      </c>
      <c r="G90" s="108">
        <f>D90*E90</f>
        <v>0</v>
      </c>
    </row>
    <row r="91" spans="2:7" x14ac:dyDescent="0.2">
      <c r="B91" s="73"/>
      <c r="C91" s="51"/>
      <c r="D91" s="51"/>
      <c r="E91" s="17"/>
      <c r="F91" s="52"/>
      <c r="G91" s="108"/>
    </row>
    <row r="92" spans="2:7" x14ac:dyDescent="0.2">
      <c r="B92" s="69" t="s">
        <v>8</v>
      </c>
      <c r="C92" s="51"/>
      <c r="D92" s="51"/>
      <c r="E92" s="17"/>
      <c r="F92" s="52"/>
      <c r="G92" s="108"/>
    </row>
    <row r="93" spans="2:7" x14ac:dyDescent="0.2">
      <c r="B93" s="76" t="s">
        <v>110</v>
      </c>
      <c r="C93" s="51">
        <v>408</v>
      </c>
      <c r="D93" s="155">
        <v>432</v>
      </c>
      <c r="E93" s="165">
        <f>Utslag!B41</f>
        <v>0</v>
      </c>
      <c r="F93" s="52">
        <f>C93*E93</f>
        <v>0</v>
      </c>
      <c r="G93" s="108">
        <f>D93*E93</f>
        <v>0</v>
      </c>
    </row>
    <row r="94" spans="2:7" x14ac:dyDescent="0.2">
      <c r="B94" s="69" t="s">
        <v>16</v>
      </c>
      <c r="C94" s="51"/>
      <c r="D94" s="51"/>
      <c r="E94" s="17"/>
      <c r="F94" s="52"/>
      <c r="G94" s="108"/>
    </row>
    <row r="95" spans="2:7" x14ac:dyDescent="0.2">
      <c r="B95" s="91" t="s">
        <v>110</v>
      </c>
      <c r="C95" s="51">
        <v>982</v>
      </c>
      <c r="D95" s="155">
        <v>1041</v>
      </c>
      <c r="E95" s="165">
        <f>Utslag!B38</f>
        <v>0</v>
      </c>
      <c r="F95" s="52">
        <f>C95*E95</f>
        <v>0</v>
      </c>
      <c r="G95" s="108">
        <f>D95*E95</f>
        <v>0</v>
      </c>
    </row>
    <row r="96" spans="2:7" x14ac:dyDescent="0.2">
      <c r="B96" s="73"/>
      <c r="C96" s="51"/>
      <c r="D96" s="51"/>
      <c r="E96" s="17"/>
      <c r="F96" s="52"/>
      <c r="G96" s="108"/>
    </row>
    <row r="97" spans="2:7" x14ac:dyDescent="0.2">
      <c r="B97" s="69" t="s">
        <v>10</v>
      </c>
      <c r="C97" s="51"/>
      <c r="D97" s="51"/>
      <c r="E97" s="17"/>
      <c r="F97" s="52"/>
      <c r="G97" s="108"/>
    </row>
    <row r="98" spans="2:7" x14ac:dyDescent="0.2">
      <c r="B98" s="91" t="s">
        <v>110</v>
      </c>
      <c r="C98" s="51">
        <v>1173</v>
      </c>
      <c r="D98" s="155">
        <v>1243</v>
      </c>
      <c r="E98" s="165">
        <f>Utslag!B42</f>
        <v>0</v>
      </c>
      <c r="F98" s="52">
        <f>C98*E98</f>
        <v>0</v>
      </c>
      <c r="G98" s="108">
        <f>D98*E98</f>
        <v>0</v>
      </c>
    </row>
    <row r="99" spans="2:7" x14ac:dyDescent="0.2">
      <c r="B99" s="73"/>
      <c r="C99" s="51"/>
      <c r="D99" s="51"/>
      <c r="E99" s="17"/>
      <c r="F99" s="52"/>
      <c r="G99" s="108"/>
    </row>
    <row r="100" spans="2:7" x14ac:dyDescent="0.2">
      <c r="B100" s="69" t="s">
        <v>11</v>
      </c>
      <c r="C100" s="51"/>
      <c r="D100" s="51"/>
      <c r="E100" s="17"/>
      <c r="F100" s="52"/>
      <c r="G100" s="108"/>
    </row>
    <row r="101" spans="2:7" x14ac:dyDescent="0.2">
      <c r="B101" s="91" t="s">
        <v>110</v>
      </c>
      <c r="C101" s="51">
        <v>40</v>
      </c>
      <c r="D101" s="155">
        <v>43</v>
      </c>
      <c r="E101" s="165">
        <f>Utslag!B43</f>
        <v>0</v>
      </c>
      <c r="F101" s="52">
        <f>C101*E101</f>
        <v>0</v>
      </c>
      <c r="G101" s="108">
        <f>D101*E101</f>
        <v>0</v>
      </c>
    </row>
    <row r="102" spans="2:7" x14ac:dyDescent="0.2">
      <c r="B102" s="73"/>
      <c r="C102" s="60"/>
      <c r="D102" s="51"/>
      <c r="E102" s="17"/>
      <c r="F102" s="52"/>
      <c r="G102" s="108"/>
    </row>
    <row r="103" spans="2:7" x14ac:dyDescent="0.2">
      <c r="B103" s="69" t="s">
        <v>12</v>
      </c>
      <c r="C103" s="51"/>
      <c r="D103" s="51"/>
      <c r="E103" s="17"/>
      <c r="F103" s="52"/>
      <c r="G103" s="108"/>
    </row>
    <row r="104" spans="2:7" x14ac:dyDescent="0.2">
      <c r="B104" s="73" t="s">
        <v>110</v>
      </c>
      <c r="C104" s="61">
        <v>10.3</v>
      </c>
      <c r="D104" s="155">
        <v>10.9</v>
      </c>
      <c r="E104" s="165">
        <f>Utslag!B44</f>
        <v>0</v>
      </c>
      <c r="F104" s="52">
        <f>C104*E104</f>
        <v>0</v>
      </c>
      <c r="G104" s="108">
        <f>D104*E104</f>
        <v>0</v>
      </c>
    </row>
    <row r="105" spans="2:7" x14ac:dyDescent="0.2">
      <c r="B105" s="73"/>
      <c r="C105" s="51"/>
      <c r="D105" s="51"/>
      <c r="E105" s="17"/>
      <c r="F105" s="52"/>
      <c r="G105" s="108"/>
    </row>
    <row r="106" spans="2:7" x14ac:dyDescent="0.2">
      <c r="B106" s="69" t="s">
        <v>111</v>
      </c>
      <c r="C106" s="51"/>
      <c r="D106" s="51"/>
      <c r="E106" s="17"/>
      <c r="F106" s="52"/>
      <c r="G106" s="108"/>
    </row>
    <row r="107" spans="2:7" ht="11.25" customHeight="1" x14ac:dyDescent="0.2">
      <c r="B107" s="73" t="s">
        <v>110</v>
      </c>
      <c r="C107" s="51">
        <v>1173</v>
      </c>
      <c r="D107" s="155">
        <v>1243</v>
      </c>
      <c r="E107" s="165"/>
      <c r="F107" s="52"/>
      <c r="G107" s="108"/>
    </row>
    <row r="108" spans="2:7" x14ac:dyDescent="0.2">
      <c r="B108" s="73"/>
      <c r="C108" s="60"/>
      <c r="D108" s="51"/>
      <c r="E108" s="17"/>
      <c r="F108" s="52"/>
      <c r="G108" s="108"/>
    </row>
    <row r="109" spans="2:7" x14ac:dyDescent="0.2">
      <c r="B109" s="69" t="s">
        <v>112</v>
      </c>
      <c r="C109" s="60"/>
      <c r="D109" s="51"/>
      <c r="E109" s="17"/>
      <c r="F109" s="52"/>
      <c r="G109" s="108"/>
    </row>
    <row r="110" spans="2:7" x14ac:dyDescent="0.2">
      <c r="B110" s="73" t="s">
        <v>110</v>
      </c>
      <c r="C110" s="51">
        <v>292</v>
      </c>
      <c r="D110" s="155">
        <v>309</v>
      </c>
      <c r="E110" s="165"/>
      <c r="F110" s="52"/>
      <c r="G110" s="108"/>
    </row>
    <row r="111" spans="2:7" x14ac:dyDescent="0.2">
      <c r="B111" s="73"/>
      <c r="C111" s="60"/>
      <c r="D111" s="51"/>
      <c r="E111" s="17"/>
      <c r="F111" s="52"/>
      <c r="G111" s="108"/>
    </row>
    <row r="112" spans="2:7" x14ac:dyDescent="0.2">
      <c r="B112" s="69" t="s">
        <v>113</v>
      </c>
      <c r="C112" s="60"/>
      <c r="D112" s="51"/>
      <c r="E112" s="17"/>
      <c r="F112" s="52"/>
      <c r="G112" s="108"/>
    </row>
    <row r="113" spans="2:9" x14ac:dyDescent="0.2">
      <c r="B113" s="73" t="s">
        <v>110</v>
      </c>
      <c r="C113" s="60">
        <v>3.59</v>
      </c>
      <c r="D113" s="67">
        <v>3.8</v>
      </c>
      <c r="E113" s="165"/>
      <c r="F113" s="52"/>
      <c r="G113" s="108"/>
    </row>
    <row r="114" spans="2:9" x14ac:dyDescent="0.2">
      <c r="B114" s="73"/>
      <c r="C114" s="60"/>
      <c r="D114" s="51"/>
      <c r="E114" s="17"/>
      <c r="F114" s="52"/>
      <c r="G114" s="108"/>
    </row>
    <row r="115" spans="2:9" x14ac:dyDescent="0.2">
      <c r="B115" s="69" t="s">
        <v>114</v>
      </c>
      <c r="C115" s="60"/>
      <c r="D115" s="51"/>
      <c r="E115" s="17"/>
      <c r="F115" s="52"/>
      <c r="G115" s="108"/>
    </row>
    <row r="116" spans="2:9" x14ac:dyDescent="0.2">
      <c r="B116" s="73" t="s">
        <v>110</v>
      </c>
      <c r="C116" s="61">
        <v>3.59</v>
      </c>
      <c r="D116" s="155">
        <v>3.8</v>
      </c>
      <c r="E116" s="165"/>
      <c r="F116" s="52"/>
      <c r="G116" s="108"/>
    </row>
    <row r="117" spans="2:9" x14ac:dyDescent="0.2">
      <c r="B117" s="73"/>
      <c r="C117" s="60"/>
      <c r="D117" s="51"/>
      <c r="E117" s="17"/>
      <c r="F117" s="52"/>
      <c r="G117" s="108"/>
    </row>
    <row r="118" spans="2:9" x14ac:dyDescent="0.2">
      <c r="B118" s="69" t="s">
        <v>115</v>
      </c>
      <c r="C118" s="60"/>
      <c r="D118" s="51"/>
      <c r="E118" s="17"/>
      <c r="F118" s="52"/>
      <c r="G118" s="108"/>
    </row>
    <row r="119" spans="2:9" x14ac:dyDescent="0.2">
      <c r="B119" s="73" t="s">
        <v>110</v>
      </c>
      <c r="C119" s="61">
        <v>0.44</v>
      </c>
      <c r="D119" s="67">
        <v>0.47</v>
      </c>
      <c r="E119" s="165">
        <f>Utslag!B45</f>
        <v>0</v>
      </c>
      <c r="F119" s="52">
        <f>C119*E119</f>
        <v>0</v>
      </c>
      <c r="G119" s="108">
        <f>D119*E119</f>
        <v>0</v>
      </c>
    </row>
    <row r="120" spans="2:9" x14ac:dyDescent="0.2">
      <c r="B120" s="73"/>
      <c r="C120" s="60"/>
      <c r="D120" s="51"/>
      <c r="E120" s="17"/>
      <c r="F120" s="52"/>
      <c r="G120" s="108"/>
    </row>
    <row r="121" spans="2:9" x14ac:dyDescent="0.2">
      <c r="B121" s="69" t="s">
        <v>116</v>
      </c>
      <c r="C121" s="60"/>
      <c r="D121" s="51"/>
      <c r="F121" s="52"/>
      <c r="G121" s="108"/>
    </row>
    <row r="122" spans="2:9" x14ac:dyDescent="0.2">
      <c r="B122" s="73" t="s">
        <v>110</v>
      </c>
      <c r="C122" s="51">
        <v>322</v>
      </c>
      <c r="D122" s="155">
        <v>342</v>
      </c>
      <c r="E122" s="165"/>
      <c r="F122" s="52"/>
      <c r="G122" s="108"/>
    </row>
    <row r="123" spans="2:9" x14ac:dyDescent="0.2">
      <c r="B123" s="73"/>
      <c r="C123" s="51"/>
      <c r="D123" s="51"/>
      <c r="E123" s="17"/>
      <c r="F123" s="52"/>
      <c r="G123" s="108"/>
    </row>
    <row r="124" spans="2:9" x14ac:dyDescent="0.2">
      <c r="B124" s="69" t="s">
        <v>117</v>
      </c>
      <c r="C124" s="51"/>
      <c r="D124" s="51"/>
      <c r="E124" s="17"/>
      <c r="F124" s="52"/>
      <c r="G124" s="108"/>
    </row>
    <row r="125" spans="2:9" x14ac:dyDescent="0.2">
      <c r="B125" s="74" t="s">
        <v>110</v>
      </c>
      <c r="C125" s="53">
        <v>94</v>
      </c>
      <c r="D125" s="155">
        <v>100</v>
      </c>
      <c r="E125" s="280"/>
      <c r="F125" s="30"/>
      <c r="G125" s="109"/>
    </row>
    <row r="126" spans="2:9" x14ac:dyDescent="0.2">
      <c r="B126" s="90"/>
      <c r="C126" s="110"/>
      <c r="D126" s="15"/>
      <c r="E126" s="17"/>
      <c r="F126" s="17"/>
      <c r="G126" s="88"/>
    </row>
    <row r="127" spans="2:9" x14ac:dyDescent="0.2">
      <c r="B127" s="69"/>
      <c r="C127" s="110"/>
      <c r="D127" s="15"/>
      <c r="E127" s="17"/>
      <c r="F127" s="111">
        <f>SUM(F84:F125)</f>
        <v>0</v>
      </c>
      <c r="G127" s="112">
        <f>SUM(G84:G125)</f>
        <v>0</v>
      </c>
      <c r="I127" s="7"/>
    </row>
    <row r="128" spans="2:9" x14ac:dyDescent="0.2">
      <c r="B128" s="71" t="s">
        <v>32</v>
      </c>
      <c r="C128" s="106">
        <v>74200</v>
      </c>
      <c r="D128" s="113">
        <v>78700</v>
      </c>
      <c r="E128" s="9"/>
      <c r="F128" s="9" t="s">
        <v>33</v>
      </c>
      <c r="G128" s="75" t="s">
        <v>34</v>
      </c>
    </row>
    <row r="129" spans="2:6" x14ac:dyDescent="0.2">
      <c r="B129" s="5"/>
    </row>
    <row r="130" spans="2:6" x14ac:dyDescent="0.2">
      <c r="B130" s="33"/>
      <c r="C130" s="286"/>
      <c r="D130" s="286"/>
      <c r="E130" s="286"/>
      <c r="F130" s="11"/>
    </row>
    <row r="131" spans="2:6" x14ac:dyDescent="0.2">
      <c r="B131" s="286">
        <v>1</v>
      </c>
      <c r="C131" s="287">
        <f>IF(AND(F127&lt;$C$128,G127&lt;$D$128),G127-F127,0)</f>
        <v>0</v>
      </c>
      <c r="D131" s="286"/>
      <c r="E131" s="286"/>
    </row>
    <row r="132" spans="2:6" x14ac:dyDescent="0.2">
      <c r="B132" s="286">
        <v>2</v>
      </c>
      <c r="C132" s="286">
        <f>IF(AND(F127&lt;C128,G127&gt;D128),(D128-F127),0)</f>
        <v>0</v>
      </c>
      <c r="D132" s="286" t="s">
        <v>35</v>
      </c>
      <c r="E132" s="286"/>
    </row>
    <row r="133" spans="2:6" x14ac:dyDescent="0.2">
      <c r="B133" s="286">
        <v>3</v>
      </c>
      <c r="C133" s="286">
        <f>IF(AND(F127&gt;C128,G127&gt;D128),(D128-C128),0)</f>
        <v>0</v>
      </c>
      <c r="D133" s="286" t="s">
        <v>36</v>
      </c>
      <c r="E133" s="286"/>
    </row>
    <row r="134" spans="2:6" x14ac:dyDescent="0.2">
      <c r="B134" s="289">
        <v>4</v>
      </c>
      <c r="C134" s="289">
        <f>IF(AND(F127&gt;C128,G127&lt;D128),(G127-$C$128),0)</f>
        <v>0</v>
      </c>
      <c r="D134" s="286" t="s">
        <v>37</v>
      </c>
      <c r="E134" s="286"/>
    </row>
    <row r="135" spans="2:6" x14ac:dyDescent="0.2">
      <c r="B135" s="286"/>
      <c r="C135" s="298">
        <f>SUM(C131:C134)</f>
        <v>0</v>
      </c>
      <c r="D135" s="286"/>
      <c r="E135" s="286"/>
    </row>
    <row r="136" spans="2:6" x14ac:dyDescent="0.2">
      <c r="C136" s="2"/>
    </row>
    <row r="137" spans="2:6" x14ac:dyDescent="0.2">
      <c r="C137" s="2"/>
    </row>
    <row r="138" spans="2:6" x14ac:dyDescent="0.2">
      <c r="C138" s="2"/>
    </row>
    <row r="139" spans="2:6" x14ac:dyDescent="0.2">
      <c r="C139" s="2"/>
    </row>
    <row r="140" spans="2:6" x14ac:dyDescent="0.2">
      <c r="C140" s="2"/>
    </row>
    <row r="141" spans="2:6" x14ac:dyDescent="0.2">
      <c r="B141" s="2" t="s">
        <v>72</v>
      </c>
    </row>
    <row r="142" spans="2:6" x14ac:dyDescent="0.2">
      <c r="B142" s="180" t="s">
        <v>240</v>
      </c>
      <c r="C142">
        <v>0</v>
      </c>
    </row>
    <row r="143" spans="2:6" x14ac:dyDescent="0.2">
      <c r="B143" t="s">
        <v>73</v>
      </c>
      <c r="C143">
        <v>0</v>
      </c>
    </row>
    <row r="144" spans="2:6" x14ac:dyDescent="0.2">
      <c r="B144" t="s">
        <v>74</v>
      </c>
      <c r="C144">
        <v>0</v>
      </c>
    </row>
    <row r="145" spans="2:7" x14ac:dyDescent="0.2">
      <c r="B145" t="s">
        <v>56</v>
      </c>
      <c r="C145">
        <v>0</v>
      </c>
    </row>
    <row r="146" spans="2:7" x14ac:dyDescent="0.2">
      <c r="C146" s="2" t="e">
        <f>IF(Utslag!#REF!&gt;0,Utslag!#REF!,IF(Utslag!#REF!&lt;0,Utslag!#REF!,IF(Utslag!#REF!&gt;0,Utslag!#REF!,IF(Utslag!#REF!&lt;0,Utslag!#REF!,Utslag!#REF!))))</f>
        <v>#REF!</v>
      </c>
      <c r="E146" s="157" t="s">
        <v>170</v>
      </c>
      <c r="F146" t="s">
        <v>171</v>
      </c>
      <c r="G146" t="s">
        <v>172</v>
      </c>
    </row>
    <row r="147" spans="2:7" x14ac:dyDescent="0.2">
      <c r="B147" t="s">
        <v>75</v>
      </c>
      <c r="C147">
        <f>IF('Ark18'!C11&gt;49,9000,IF('Ark18'!C11&gt;5,'Ark18'!C11*580,0))</f>
        <v>0</v>
      </c>
      <c r="E147">
        <v>580</v>
      </c>
      <c r="F147">
        <v>580</v>
      </c>
      <c r="G147">
        <v>9000</v>
      </c>
    </row>
    <row r="148" spans="2:7" x14ac:dyDescent="0.2">
      <c r="C148" s="2" t="e">
        <f>IF(C146&gt;0,C146,IF(C146&lt;0,C146,C147))</f>
        <v>#REF!</v>
      </c>
    </row>
    <row r="149" spans="2:7" x14ac:dyDescent="0.2">
      <c r="B149" t="s">
        <v>76</v>
      </c>
    </row>
    <row r="150" spans="2:7" x14ac:dyDescent="0.2">
      <c r="C150" s="31" t="e">
        <f>IF(C148&gt;0,C148,IF(C148&lt;0,C148,Utslag!#REF!))</f>
        <v>#REF!</v>
      </c>
      <c r="D150" t="s">
        <v>77</v>
      </c>
    </row>
    <row r="152" spans="2:7" x14ac:dyDescent="0.2">
      <c r="B152" t="s">
        <v>173</v>
      </c>
      <c r="C152" t="e">
        <f>IF(Utslag!#REF!+C147+Utslag!#REF!=0,Utslag!#REF!+Utslag!#REF!,0)</f>
        <v>#REF!</v>
      </c>
    </row>
    <row r="153" spans="2:7" x14ac:dyDescent="0.2">
      <c r="B153" t="s">
        <v>174</v>
      </c>
      <c r="C153" t="e">
        <f>IF(Utslag!#REF!+Utslag!#REF!+C147+Utslag!#REF!=0,Utslag!#REF!,0)</f>
        <v>#REF!</v>
      </c>
    </row>
    <row r="154" spans="2:7" x14ac:dyDescent="0.2">
      <c r="B154" t="s">
        <v>175</v>
      </c>
      <c r="C154" t="e">
        <f>IF(Utslag!#REF!+Utslag!#REF!+Utslag!#REF!+Utslag!#REF!=0,C147,0)</f>
        <v>#REF!</v>
      </c>
    </row>
    <row r="155" spans="2:7" x14ac:dyDescent="0.2">
      <c r="B155" t="s">
        <v>176</v>
      </c>
      <c r="C155" t="e">
        <f>IF(Utslag!#REF!+Utslag!#REF!+Utslag!#REF!+C147=0,Utslag!#REF!,0)</f>
        <v>#REF!</v>
      </c>
    </row>
    <row r="156" spans="2:7" x14ac:dyDescent="0.2">
      <c r="B156" t="s">
        <v>177</v>
      </c>
      <c r="C156" t="e">
        <f>IF(AND(Utslag!#REF!&gt;0,Utslag!#REF!&gt;0),0,Utslag!#REF!)</f>
        <v>#REF!</v>
      </c>
      <c r="F156" s="2"/>
    </row>
    <row r="157" spans="2:7" x14ac:dyDescent="0.2">
      <c r="B157" t="s">
        <v>178</v>
      </c>
      <c r="C157" t="e">
        <f>IF(AND(Utslag!#REF!&gt;0,Utslag!#REF!&gt;0),0,IF(AND('Ark18'!C11&gt;6,'Ark18'!C11&lt;50,'Ark18'!C11*2000),IF('Ark18'!C11&gt;50,80000),0))</f>
        <v>#REF!</v>
      </c>
    </row>
    <row r="161" spans="1:34" ht="16.5" customHeight="1" x14ac:dyDescent="0.25">
      <c r="A161" s="24"/>
      <c r="B161" s="28"/>
      <c r="C161" s="25"/>
      <c r="D161" s="10"/>
      <c r="E161" s="10"/>
      <c r="F161" s="10"/>
      <c r="G161" s="10"/>
      <c r="H161" s="10"/>
      <c r="I161" s="2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 customHeight="1" x14ac:dyDescent="0.25">
      <c r="A162" s="24"/>
      <c r="B162" s="28"/>
      <c r="C162" s="25"/>
      <c r="D162" s="10"/>
      <c r="E162" s="10"/>
      <c r="F162" s="10"/>
      <c r="G162" s="10"/>
      <c r="H162" s="10"/>
      <c r="I162" s="2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4" spans="1:34" ht="16.5" customHeight="1" x14ac:dyDescent="0.25">
      <c r="A164" s="24"/>
      <c r="B164" s="28"/>
      <c r="C164" s="25"/>
      <c r="D164" s="10"/>
      <c r="E164" s="10"/>
      <c r="F164" s="10"/>
      <c r="G164" s="10"/>
      <c r="H164" s="10"/>
      <c r="I164" s="2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 customHeight="1" x14ac:dyDescent="0.25">
      <c r="A165" s="24"/>
      <c r="B165" s="28"/>
      <c r="C165" s="25"/>
      <c r="D165" s="10"/>
      <c r="E165" s="10"/>
      <c r="F165" s="10"/>
      <c r="G165" s="10"/>
      <c r="H165" s="10"/>
      <c r="I165" s="2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 customHeight="1" x14ac:dyDescent="0.25">
      <c r="A166" s="24"/>
      <c r="B166" s="28"/>
      <c r="C166" s="25"/>
      <c r="D166" s="10"/>
      <c r="E166" s="10"/>
      <c r="F166" s="10"/>
      <c r="G166" s="10"/>
      <c r="H166" s="10"/>
      <c r="I166" s="2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8" spans="1:34" ht="16.5" customHeight="1" x14ac:dyDescent="0.25">
      <c r="A168" s="24"/>
      <c r="B168" s="28"/>
      <c r="C168" s="25"/>
      <c r="D168" s="10"/>
      <c r="E168" s="10"/>
      <c r="F168" s="10"/>
      <c r="G168" s="10"/>
      <c r="H168" s="10"/>
      <c r="I168" s="2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5.75" customHeight="1" x14ac:dyDescent="0.25">
      <c r="A169" s="24"/>
      <c r="B169" s="27"/>
      <c r="C169" s="25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5" x14ac:dyDescent="0.25">
      <c r="A170" s="24"/>
      <c r="B170" s="23"/>
      <c r="C170" s="25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4" spans="1:34" x14ac:dyDescent="0.2">
      <c r="B174" t="s">
        <v>151</v>
      </c>
      <c r="C174" t="s">
        <v>27</v>
      </c>
      <c r="D174" s="180" t="s">
        <v>239</v>
      </c>
      <c r="E174" s="180" t="s">
        <v>242</v>
      </c>
      <c r="G174" t="s">
        <v>30</v>
      </c>
    </row>
    <row r="176" spans="1:34" x14ac:dyDescent="0.2">
      <c r="B176" t="s">
        <v>62</v>
      </c>
      <c r="C176" s="156">
        <v>1500</v>
      </c>
      <c r="D176" s="156">
        <v>1600</v>
      </c>
      <c r="E176" s="283">
        <f>D176-C176</f>
        <v>100</v>
      </c>
      <c r="G176">
        <f>E176*(Utslag!B33+Utslag!B34+Utslag!B35)</f>
        <v>0</v>
      </c>
      <c r="I176">
        <f>IF(Utslag!$B$7="Nei",0,Satser!$G$187)</f>
        <v>0</v>
      </c>
    </row>
    <row r="177" spans="2:8" x14ac:dyDescent="0.2">
      <c r="B177" t="s">
        <v>38</v>
      </c>
      <c r="C177" s="156">
        <v>600</v>
      </c>
      <c r="D177" s="156">
        <v>700</v>
      </c>
      <c r="E177" s="283">
        <f t="shared" ref="E177:E186" si="13">D177-C177</f>
        <v>100</v>
      </c>
      <c r="G177">
        <f>E177*Utslag!B32</f>
        <v>0</v>
      </c>
    </row>
    <row r="178" spans="2:8" x14ac:dyDescent="0.2">
      <c r="B178" t="s">
        <v>48</v>
      </c>
      <c r="C178" s="156">
        <v>325</v>
      </c>
      <c r="D178" s="156">
        <v>375</v>
      </c>
      <c r="E178" s="283">
        <f t="shared" si="13"/>
        <v>50</v>
      </c>
      <c r="G178">
        <f>E178*Utslag!B31</f>
        <v>0</v>
      </c>
    </row>
    <row r="179" spans="2:8" x14ac:dyDescent="0.2">
      <c r="B179" t="s">
        <v>47</v>
      </c>
      <c r="C179" s="156">
        <v>25</v>
      </c>
      <c r="D179" s="156">
        <v>25</v>
      </c>
      <c r="E179" s="283">
        <f t="shared" si="13"/>
        <v>0</v>
      </c>
      <c r="G179">
        <f>E179*(Utslag!B30+Utslag!B29*0.6)</f>
        <v>0</v>
      </c>
    </row>
    <row r="180" spans="2:8" x14ac:dyDescent="0.2">
      <c r="B180" t="s">
        <v>168</v>
      </c>
      <c r="C180" s="156">
        <v>3000</v>
      </c>
      <c r="D180" s="156">
        <v>3200</v>
      </c>
      <c r="E180" s="283">
        <f t="shared" si="13"/>
        <v>200</v>
      </c>
      <c r="G180">
        <f>E180*Utslag!B37</f>
        <v>0</v>
      </c>
    </row>
    <row r="181" spans="2:8" x14ac:dyDescent="0.2">
      <c r="B181" t="s">
        <v>16</v>
      </c>
      <c r="C181" s="156">
        <v>2200</v>
      </c>
      <c r="D181" s="156">
        <v>2200</v>
      </c>
      <c r="E181" s="283">
        <f t="shared" si="13"/>
        <v>0</v>
      </c>
      <c r="G181">
        <f>E181*Utslag!B38</f>
        <v>0</v>
      </c>
    </row>
    <row r="182" spans="2:8" x14ac:dyDescent="0.2">
      <c r="B182" t="s">
        <v>152</v>
      </c>
      <c r="C182" s="156">
        <v>700</v>
      </c>
      <c r="D182" s="156">
        <v>700</v>
      </c>
      <c r="E182" s="283">
        <f t="shared" si="13"/>
        <v>0</v>
      </c>
      <c r="G182">
        <f>E182*Utslag!B39</f>
        <v>0</v>
      </c>
    </row>
    <row r="183" spans="2:8" x14ac:dyDescent="0.2">
      <c r="B183" t="s">
        <v>169</v>
      </c>
      <c r="C183" s="156">
        <v>500</v>
      </c>
      <c r="D183" s="156">
        <v>500</v>
      </c>
      <c r="E183" s="283">
        <f t="shared" si="13"/>
        <v>0</v>
      </c>
      <c r="G183">
        <f>E183*Utslag!B41</f>
        <v>0</v>
      </c>
    </row>
    <row r="184" spans="2:8" x14ac:dyDescent="0.2">
      <c r="B184" t="s">
        <v>153</v>
      </c>
      <c r="C184" s="156">
        <v>502</v>
      </c>
      <c r="D184" s="156">
        <v>502</v>
      </c>
      <c r="E184" s="283">
        <f t="shared" si="13"/>
        <v>0</v>
      </c>
    </row>
    <row r="185" spans="2:8" x14ac:dyDescent="0.2">
      <c r="B185" t="s">
        <v>11</v>
      </c>
      <c r="C185" s="156">
        <v>300</v>
      </c>
      <c r="D185" s="156">
        <v>300</v>
      </c>
      <c r="E185" s="283">
        <f t="shared" si="13"/>
        <v>0</v>
      </c>
      <c r="F185" s="18"/>
      <c r="H185" s="20"/>
    </row>
    <row r="186" spans="2:8" x14ac:dyDescent="0.2">
      <c r="B186" t="s">
        <v>7</v>
      </c>
      <c r="C186" s="156">
        <v>250</v>
      </c>
      <c r="D186" s="156">
        <v>250</v>
      </c>
      <c r="E186" s="283">
        <f t="shared" si="13"/>
        <v>0</v>
      </c>
      <c r="F186" s="18"/>
      <c r="G186">
        <f>E186*Utslag!B40</f>
        <v>0</v>
      </c>
      <c r="H186" s="20"/>
    </row>
    <row r="187" spans="2:8" x14ac:dyDescent="0.2">
      <c r="D187" s="5"/>
      <c r="E187" s="1"/>
      <c r="F187" s="18" t="s">
        <v>156</v>
      </c>
      <c r="G187" s="19">
        <f>SUM(G176:G186)</f>
        <v>0</v>
      </c>
      <c r="H187" s="19"/>
    </row>
    <row r="188" spans="2:8" x14ac:dyDescent="0.2">
      <c r="D188" s="5"/>
      <c r="E188" s="1"/>
      <c r="F188" s="18"/>
      <c r="G188" s="19"/>
      <c r="H188" s="20">
        <f>H187+G187</f>
        <v>0</v>
      </c>
    </row>
    <row r="189" spans="2:8" x14ac:dyDescent="0.2">
      <c r="D189" s="5"/>
      <c r="E189" s="1"/>
      <c r="F189" s="18"/>
      <c r="G189" s="19"/>
      <c r="H189" s="20"/>
    </row>
    <row r="190" spans="2:8" x14ac:dyDescent="0.2">
      <c r="D190" s="1"/>
      <c r="E190" s="1"/>
      <c r="F190" s="7"/>
    </row>
    <row r="191" spans="2:8" x14ac:dyDescent="0.2">
      <c r="C191" t="s">
        <v>180</v>
      </c>
      <c r="D191" s="158" t="s">
        <v>163</v>
      </c>
      <c r="E191" s="158" t="s">
        <v>56</v>
      </c>
      <c r="F191" s="158" t="s">
        <v>16</v>
      </c>
      <c r="G191" s="158" t="s">
        <v>179</v>
      </c>
    </row>
    <row r="192" spans="2:8" x14ac:dyDescent="0.2">
      <c r="C192" t="s">
        <v>181</v>
      </c>
      <c r="D192">
        <f>D193/5</f>
        <v>24400</v>
      </c>
      <c r="E192" s="7">
        <f>130000/27</f>
        <v>4814.8148148148148</v>
      </c>
      <c r="F192">
        <v>0</v>
      </c>
      <c r="G192">
        <v>0</v>
      </c>
    </row>
    <row r="193" spans="3:11" x14ac:dyDescent="0.2">
      <c r="C193" t="s">
        <v>182</v>
      </c>
      <c r="D193">
        <f>IF(Utslag!B4&gt;5,130000,IF(Utslag!B4=2,115000,122000))</f>
        <v>122000</v>
      </c>
      <c r="E193">
        <v>130000</v>
      </c>
      <c r="F193">
        <v>0</v>
      </c>
      <c r="G193">
        <v>0</v>
      </c>
    </row>
    <row r="194" spans="3:11" x14ac:dyDescent="0.2">
      <c r="C194" t="s">
        <v>183</v>
      </c>
    </row>
    <row r="195" spans="3:11" x14ac:dyDescent="0.2">
      <c r="C195" t="s">
        <v>181</v>
      </c>
      <c r="D195">
        <f>IF(Utslag!B4&lt;6,25000,24800)</f>
        <v>25000</v>
      </c>
      <c r="E195" s="7">
        <f>133000/27</f>
        <v>4925.9259259259261</v>
      </c>
      <c r="F195">
        <v>0</v>
      </c>
      <c r="G195">
        <v>0</v>
      </c>
    </row>
    <row r="196" spans="3:11" x14ac:dyDescent="0.2">
      <c r="C196" t="s">
        <v>182</v>
      </c>
      <c r="D196">
        <f>IF(Utslag!B4&gt;5,133000,IF(Utslag!B4=2,118000,125000))</f>
        <v>125000</v>
      </c>
      <c r="E196">
        <v>133000</v>
      </c>
      <c r="F196">
        <v>0</v>
      </c>
      <c r="G196">
        <v>0</v>
      </c>
    </row>
    <row r="198" spans="3:11" x14ac:dyDescent="0.2">
      <c r="C198" t="s">
        <v>184</v>
      </c>
    </row>
    <row r="199" spans="3:11" x14ac:dyDescent="0.2">
      <c r="C199" t="s">
        <v>180</v>
      </c>
      <c r="D199">
        <f>IF('Ark18'!$C$10&lt;5,'Ark18'!$C$10*Satser!D$192,Satser!D$193)</f>
        <v>0</v>
      </c>
      <c r="E199">
        <f>IF('Ark18'!$C$13&lt;27,'Ark18'!$C$13*Satser!E$192,Satser!E$193)</f>
        <v>0</v>
      </c>
      <c r="F199">
        <f>IF('Ark18'!$C$11&lt;6,0,IF('Ark18'!$C$11&lt;50,'Ark18'!$C$11*Satser!F$192,Satser!F$193))</f>
        <v>0</v>
      </c>
      <c r="G199">
        <f>IF('Ark18'!$C$14&lt;10,0,IF('Ark18'!$C$14&lt;50,'Ark18'!$C$14*Satser!G$192,Satser!G$193))</f>
        <v>0</v>
      </c>
      <c r="H199">
        <f>MAX(D199:G199)</f>
        <v>0</v>
      </c>
    </row>
    <row r="200" spans="3:11" x14ac:dyDescent="0.2">
      <c r="C200" t="s">
        <v>185</v>
      </c>
      <c r="D200">
        <f>IF('Ark18'!$C$10&lt;5,'Ark18'!$C$10*Satser!D$195,Satser!D$196)</f>
        <v>0</v>
      </c>
      <c r="E200">
        <f>IF('Ark18'!$C$13&lt;27,'Ark18'!$C$13*Satser!E$195,Satser!E$196)</f>
        <v>0</v>
      </c>
      <c r="F200">
        <f>IF('Ark18'!$C$11&lt;6,0,IF('Ark18'!$C$11&lt;50,'Ark18'!$C$11*Satser!F$195,Satser!F$196))</f>
        <v>0</v>
      </c>
      <c r="G200">
        <f>IF('Ark18'!$C$14&lt;10,0,IF('Ark18'!$C$14&lt;50,'Ark18'!$C$14*Satser!G$195,Satser!G$196))</f>
        <v>0</v>
      </c>
      <c r="H200">
        <f>MAX(D200:G200)</f>
        <v>0</v>
      </c>
    </row>
    <row r="201" spans="3:11" x14ac:dyDescent="0.2">
      <c r="C201" t="s">
        <v>186</v>
      </c>
      <c r="D201">
        <f>IF($H$200=D200,0,D200)</f>
        <v>0</v>
      </c>
      <c r="E201">
        <f>IF($H$200=E200,0,E200)</f>
        <v>0</v>
      </c>
      <c r="F201">
        <f>IF($H$200=F200,0,F200)</f>
        <v>0</v>
      </c>
      <c r="G201">
        <f>IF($H$200=G200,0,G200)</f>
        <v>0</v>
      </c>
      <c r="H201">
        <f>MAX(D201:G201)</f>
        <v>0</v>
      </c>
    </row>
    <row r="202" spans="3:11" x14ac:dyDescent="0.2">
      <c r="C202" s="64" t="s">
        <v>187</v>
      </c>
      <c r="D202" s="64"/>
      <c r="E202" s="64"/>
      <c r="F202" s="64"/>
      <c r="G202" s="64"/>
      <c r="H202" s="64">
        <f>SUM(H200:H201)-H199</f>
        <v>0</v>
      </c>
    </row>
    <row r="205" spans="3:11" x14ac:dyDescent="0.2">
      <c r="H205" s="180" t="s">
        <v>196</v>
      </c>
      <c r="J205" s="180" t="s">
        <v>197</v>
      </c>
      <c r="K205">
        <v>3</v>
      </c>
    </row>
    <row r="206" spans="3:11" x14ac:dyDescent="0.2">
      <c r="G206" s="180" t="s">
        <v>163</v>
      </c>
      <c r="H206" s="181">
        <v>3600</v>
      </c>
      <c r="I206" s="181">
        <v>18000</v>
      </c>
      <c r="J206" s="181">
        <v>0</v>
      </c>
      <c r="K206" s="181">
        <v>0</v>
      </c>
    </row>
    <row r="207" spans="3:11" x14ac:dyDescent="0.2">
      <c r="G207" s="180" t="s">
        <v>56</v>
      </c>
      <c r="H207" s="181">
        <v>667</v>
      </c>
      <c r="I207" s="181">
        <v>18000</v>
      </c>
      <c r="J207" s="181"/>
      <c r="K207" s="181"/>
    </row>
    <row r="208" spans="3:11" x14ac:dyDescent="0.2">
      <c r="G208" s="180" t="s">
        <v>16</v>
      </c>
      <c r="H208" s="181">
        <v>360</v>
      </c>
      <c r="I208" s="181">
        <v>18000</v>
      </c>
      <c r="J208" s="181"/>
      <c r="K208" s="181"/>
    </row>
    <row r="210" spans="2:11" ht="15" x14ac:dyDescent="0.25">
      <c r="B210" s="300" t="s">
        <v>193</v>
      </c>
      <c r="C210" s="168">
        <v>39630</v>
      </c>
      <c r="D210" s="168">
        <v>39448</v>
      </c>
      <c r="G210" s="180" t="s">
        <v>163</v>
      </c>
      <c r="H210">
        <f>H202</f>
        <v>0</v>
      </c>
    </row>
    <row r="211" spans="2:11" x14ac:dyDescent="0.2">
      <c r="B211" s="127" t="s">
        <v>163</v>
      </c>
      <c r="C211" s="128">
        <v>0.03</v>
      </c>
      <c r="D211" s="169">
        <v>0</v>
      </c>
      <c r="G211" s="180" t="s">
        <v>16</v>
      </c>
      <c r="H211" s="182">
        <f>IF('Ark18'!C11&lt;6,0,IF('Ark18'!C11&lt;40,25*'Ark18'!C11,IF('Ark18'!C11&lt;40,0*'Ark18'!C11+1000,1000)))</f>
        <v>0</v>
      </c>
    </row>
    <row r="212" spans="2:11" x14ac:dyDescent="0.2">
      <c r="B212" s="131" t="s">
        <v>6</v>
      </c>
      <c r="C212" s="132">
        <v>0</v>
      </c>
      <c r="D212" s="169">
        <v>0</v>
      </c>
      <c r="G212" s="180"/>
    </row>
    <row r="213" spans="2:11" x14ac:dyDescent="0.2">
      <c r="B213" s="131" t="s">
        <v>79</v>
      </c>
      <c r="C213" s="132">
        <v>0</v>
      </c>
      <c r="D213" s="169">
        <v>0</v>
      </c>
    </row>
    <row r="214" spans="2:11" x14ac:dyDescent="0.2">
      <c r="B214" s="131" t="s">
        <v>134</v>
      </c>
      <c r="C214" s="132">
        <v>0</v>
      </c>
      <c r="D214" s="169"/>
    </row>
    <row r="215" spans="2:11" x14ac:dyDescent="0.2">
      <c r="B215" s="131" t="s">
        <v>81</v>
      </c>
      <c r="C215" s="132">
        <v>0</v>
      </c>
      <c r="D215" s="169">
        <v>0</v>
      </c>
    </row>
    <row r="216" spans="2:11" x14ac:dyDescent="0.2">
      <c r="B216" s="179" t="s">
        <v>250</v>
      </c>
      <c r="C216" s="299">
        <v>0.1</v>
      </c>
      <c r="D216" s="169">
        <v>0</v>
      </c>
    </row>
    <row r="217" spans="2:11" x14ac:dyDescent="0.2">
      <c r="B217" s="179" t="s">
        <v>251</v>
      </c>
      <c r="C217" s="299">
        <v>0.1</v>
      </c>
      <c r="D217" s="169"/>
    </row>
    <row r="218" spans="2:11" x14ac:dyDescent="0.2">
      <c r="B218" s="179" t="s">
        <v>252</v>
      </c>
      <c r="C218" s="299">
        <v>0.08</v>
      </c>
      <c r="D218" s="169"/>
    </row>
    <row r="219" spans="2:11" x14ac:dyDescent="0.2">
      <c r="B219" s="179" t="s">
        <v>51</v>
      </c>
      <c r="C219" s="239">
        <v>0.08</v>
      </c>
      <c r="D219" s="169"/>
    </row>
    <row r="220" spans="2:11" x14ac:dyDescent="0.2">
      <c r="B220" s="131" t="s">
        <v>167</v>
      </c>
      <c r="C220" s="132">
        <v>0.08</v>
      </c>
      <c r="D220" s="169"/>
      <c r="F220" s="78" t="s">
        <v>118</v>
      </c>
      <c r="G220" s="48"/>
      <c r="H220" s="49"/>
      <c r="I220" s="50"/>
      <c r="J220" s="50"/>
      <c r="K220" s="87"/>
    </row>
    <row r="221" spans="2:11" x14ac:dyDescent="0.2">
      <c r="B221" s="131" t="s">
        <v>69</v>
      </c>
      <c r="C221" s="132">
        <v>0</v>
      </c>
      <c r="D221" s="169"/>
      <c r="F221" s="73" t="s">
        <v>119</v>
      </c>
      <c r="G221" s="15"/>
      <c r="H221" s="167"/>
      <c r="I221" s="165">
        <f>'Ark18'!C20</f>
        <v>0</v>
      </c>
      <c r="J221" s="17">
        <f>G221*I221</f>
        <v>0</v>
      </c>
      <c r="K221" s="88">
        <f>H221*I221</f>
        <v>0</v>
      </c>
    </row>
    <row r="222" spans="2:11" x14ac:dyDescent="0.2">
      <c r="B222" s="131" t="s">
        <v>80</v>
      </c>
      <c r="C222" s="132">
        <v>0</v>
      </c>
      <c r="D222" s="169">
        <v>0</v>
      </c>
      <c r="F222" s="73" t="s">
        <v>148</v>
      </c>
      <c r="G222" s="15">
        <v>500</v>
      </c>
      <c r="H222" s="167">
        <v>500</v>
      </c>
      <c r="I222" s="17">
        <v>0</v>
      </c>
      <c r="J222" s="17">
        <f>G222*I222</f>
        <v>0</v>
      </c>
      <c r="K222" s="88">
        <f>H222*I222</f>
        <v>0</v>
      </c>
    </row>
    <row r="223" spans="2:11" x14ac:dyDescent="0.2">
      <c r="B223" s="131" t="s">
        <v>38</v>
      </c>
      <c r="C223" s="132">
        <v>0.25</v>
      </c>
      <c r="D223" s="169">
        <v>0</v>
      </c>
      <c r="F223" s="74" t="s">
        <v>121</v>
      </c>
      <c r="G223" s="14">
        <v>300</v>
      </c>
      <c r="H223" s="30">
        <v>300</v>
      </c>
      <c r="I223" s="9"/>
      <c r="J223" s="9"/>
      <c r="K223" s="75"/>
    </row>
    <row r="224" spans="2:11" x14ac:dyDescent="0.2">
      <c r="B224" s="179" t="s">
        <v>143</v>
      </c>
      <c r="C224" s="185">
        <v>0.03</v>
      </c>
      <c r="D224" s="170">
        <v>0</v>
      </c>
    </row>
    <row r="225" spans="2:4" x14ac:dyDescent="0.2">
      <c r="B225" s="179" t="s">
        <v>62</v>
      </c>
      <c r="C225" s="134">
        <v>0.03</v>
      </c>
      <c r="D225" s="170">
        <v>0</v>
      </c>
    </row>
    <row r="229" spans="2:4" x14ac:dyDescent="0.2">
      <c r="B229" t="s">
        <v>195</v>
      </c>
      <c r="C229">
        <v>0</v>
      </c>
    </row>
    <row r="231" spans="2:4" x14ac:dyDescent="0.2">
      <c r="B231" t="s">
        <v>78</v>
      </c>
      <c r="C231">
        <v>0</v>
      </c>
    </row>
    <row r="235" spans="2:4" x14ac:dyDescent="0.2">
      <c r="C235">
        <f>1.5</f>
        <v>1.5</v>
      </c>
    </row>
    <row r="236" spans="2:4" x14ac:dyDescent="0.2">
      <c r="C236">
        <v>26.22</v>
      </c>
    </row>
    <row r="237" spans="2:4" x14ac:dyDescent="0.2">
      <c r="C237">
        <f>C235/C236</f>
        <v>5.7208237986270026E-2</v>
      </c>
    </row>
    <row r="242" spans="2:4" x14ac:dyDescent="0.2">
      <c r="B242" s="140" t="s">
        <v>115</v>
      </c>
      <c r="C242" s="163"/>
      <c r="D242" s="133" t="s">
        <v>5</v>
      </c>
    </row>
    <row r="244" spans="2:4" x14ac:dyDescent="0.2">
      <c r="C244" s="180"/>
    </row>
    <row r="245" spans="2:4" x14ac:dyDescent="0.2">
      <c r="B245" s="180"/>
    </row>
    <row r="246" spans="2:4" x14ac:dyDescent="0.2">
      <c r="B246" s="180"/>
    </row>
    <row r="247" spans="2:4" x14ac:dyDescent="0.2">
      <c r="B247" s="183"/>
    </row>
    <row r="248" spans="2:4" x14ac:dyDescent="0.2">
      <c r="B248" s="183"/>
    </row>
    <row r="249" spans="2:4" x14ac:dyDescent="0.2">
      <c r="B249" s="183"/>
    </row>
    <row r="250" spans="2:4" x14ac:dyDescent="0.2">
      <c r="B250" s="183"/>
    </row>
    <row r="251" spans="2:4" x14ac:dyDescent="0.2">
      <c r="B251" s="183"/>
    </row>
    <row r="252" spans="2:4" x14ac:dyDescent="0.2">
      <c r="B252" s="183"/>
    </row>
    <row r="253" spans="2:4" x14ac:dyDescent="0.2">
      <c r="B253" s="183"/>
    </row>
    <row r="254" spans="2:4" x14ac:dyDescent="0.2">
      <c r="B254" s="183"/>
    </row>
    <row r="255" spans="2:4" x14ac:dyDescent="0.2">
      <c r="B255" s="183"/>
    </row>
    <row r="256" spans="2:4" x14ac:dyDescent="0.2">
      <c r="B256" s="183"/>
    </row>
    <row r="257" spans="2:2" x14ac:dyDescent="0.2">
      <c r="B257" s="183"/>
    </row>
    <row r="258" spans="2:2" x14ac:dyDescent="0.2">
      <c r="B258" s="183"/>
    </row>
    <row r="259" spans="2:2" x14ac:dyDescent="0.2">
      <c r="B259" s="183"/>
    </row>
    <row r="260" spans="2:2" x14ac:dyDescent="0.2">
      <c r="B260" s="183"/>
    </row>
    <row r="261" spans="2:2" x14ac:dyDescent="0.2">
      <c r="B261" s="183"/>
    </row>
    <row r="262" spans="2:2" x14ac:dyDescent="0.2">
      <c r="B262" s="183"/>
    </row>
    <row r="263" spans="2:2" x14ac:dyDescent="0.2">
      <c r="B263" s="183"/>
    </row>
    <row r="264" spans="2:2" x14ac:dyDescent="0.2">
      <c r="B264" s="183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9" t="s">
        <v>143</v>
      </c>
      <c r="C6" s="238"/>
      <c r="D6" s="196" t="s">
        <v>3</v>
      </c>
    </row>
    <row r="7" spans="2:4" ht="15" x14ac:dyDescent="0.25">
      <c r="B7" s="199" t="s">
        <v>141</v>
      </c>
      <c r="C7" s="233"/>
      <c r="D7" s="196" t="s">
        <v>3</v>
      </c>
    </row>
    <row r="8" spans="2:4" ht="15" x14ac:dyDescent="0.25">
      <c r="B8" s="199" t="s">
        <v>51</v>
      </c>
      <c r="C8" s="238"/>
      <c r="D8" s="196" t="s">
        <v>3</v>
      </c>
    </row>
    <row r="9" spans="2:4" ht="15" x14ac:dyDescent="0.25">
      <c r="B9" s="199" t="s">
        <v>50</v>
      </c>
      <c r="C9" s="238"/>
      <c r="D9" s="196" t="s">
        <v>3</v>
      </c>
    </row>
    <row r="10" spans="2:4" ht="15" x14ac:dyDescent="0.25">
      <c r="B10" s="199" t="s">
        <v>4</v>
      </c>
      <c r="C10" s="237"/>
      <c r="D10" s="196" t="s">
        <v>5</v>
      </c>
    </row>
    <row r="11" spans="2:4" ht="15" x14ac:dyDescent="0.25">
      <c r="B11" s="199" t="s">
        <v>188</v>
      </c>
      <c r="C11" s="237"/>
      <c r="D11" s="196" t="s">
        <v>5</v>
      </c>
    </row>
    <row r="12" spans="2:4" ht="15" x14ac:dyDescent="0.25">
      <c r="B12" s="199" t="s">
        <v>6</v>
      </c>
      <c r="C12" s="237"/>
      <c r="D12" s="196" t="s">
        <v>5</v>
      </c>
    </row>
    <row r="13" spans="2:4" ht="15" x14ac:dyDescent="0.25">
      <c r="B13" s="199" t="s">
        <v>65</v>
      </c>
      <c r="C13" s="237"/>
      <c r="D13" s="196" t="s">
        <v>5</v>
      </c>
    </row>
    <row r="14" spans="2:4" ht="15" x14ac:dyDescent="0.25">
      <c r="B14" s="199" t="s">
        <v>169</v>
      </c>
      <c r="C14" s="237"/>
      <c r="D14" s="196" t="s">
        <v>5</v>
      </c>
    </row>
    <row r="15" spans="2:4" ht="15" x14ac:dyDescent="0.25">
      <c r="B15" s="199" t="s">
        <v>214</v>
      </c>
      <c r="C15" s="237"/>
      <c r="D15" s="196" t="s">
        <v>5</v>
      </c>
    </row>
    <row r="16" spans="2:4" ht="15" x14ac:dyDescent="0.25">
      <c r="B16" s="199" t="s">
        <v>208</v>
      </c>
      <c r="C16" s="237"/>
      <c r="D16" s="196" t="s">
        <v>5</v>
      </c>
    </row>
    <row r="17" spans="2:4" ht="15" x14ac:dyDescent="0.25">
      <c r="B17" s="194" t="s">
        <v>132</v>
      </c>
      <c r="C17" s="206"/>
      <c r="D17" s="196"/>
    </row>
    <row r="18" spans="2:4" ht="15" x14ac:dyDescent="0.25">
      <c r="B18" s="199" t="s">
        <v>161</v>
      </c>
      <c r="C18" s="233"/>
      <c r="D18" s="196" t="s">
        <v>5</v>
      </c>
    </row>
    <row r="19" spans="2:4" ht="15" x14ac:dyDescent="0.25">
      <c r="B19" s="200" t="s">
        <v>162</v>
      </c>
      <c r="C19" s="201"/>
      <c r="D19" s="198" t="s">
        <v>5</v>
      </c>
    </row>
    <row r="20" spans="2:4" ht="15" x14ac:dyDescent="0.25">
      <c r="B20" s="199" t="s">
        <v>192</v>
      </c>
      <c r="C20" s="233"/>
      <c r="D20" s="196" t="s">
        <v>59</v>
      </c>
    </row>
    <row r="21" spans="2:4" ht="15" x14ac:dyDescent="0.25">
      <c r="B21" s="200" t="s">
        <v>127</v>
      </c>
      <c r="C21" s="246"/>
      <c r="D21" s="198" t="s">
        <v>5</v>
      </c>
    </row>
    <row r="22" spans="2:4" ht="15" x14ac:dyDescent="0.25">
      <c r="B22" s="242" t="s">
        <v>150</v>
      </c>
      <c r="C22" s="205"/>
      <c r="D22" s="244" t="s">
        <v>2</v>
      </c>
    </row>
    <row r="23" spans="2:4" ht="15" x14ac:dyDescent="0.25">
      <c r="B23" s="194" t="s">
        <v>159</v>
      </c>
      <c r="C23" s="195"/>
      <c r="D23" s="196"/>
    </row>
    <row r="24" spans="2:4" ht="15" x14ac:dyDescent="0.25">
      <c r="B24" s="194" t="s">
        <v>200</v>
      </c>
      <c r="C24" s="195" t="s">
        <v>213</v>
      </c>
      <c r="D24" s="196"/>
    </row>
    <row r="25" spans="2:4" ht="15" x14ac:dyDescent="0.25">
      <c r="B25" s="197" t="s">
        <v>158</v>
      </c>
      <c r="C25" s="227"/>
      <c r="D25" s="198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47" t="s">
        <v>226</v>
      </c>
      <c r="C32" s="248"/>
      <c r="D32" s="249"/>
    </row>
    <row r="33" spans="2:4" x14ac:dyDescent="0.2">
      <c r="B33" s="245"/>
      <c r="C33" s="245"/>
      <c r="D33" s="245"/>
    </row>
    <row r="34" spans="2:4" x14ac:dyDescent="0.2">
      <c r="B34" s="245"/>
      <c r="C34" s="245"/>
      <c r="D34" s="245"/>
    </row>
    <row r="35" spans="2:4" x14ac:dyDescent="0.2">
      <c r="B35" s="245"/>
      <c r="C35" s="245"/>
      <c r="D35" s="245"/>
    </row>
    <row r="36" spans="2:4" x14ac:dyDescent="0.2">
      <c r="B36" s="245"/>
      <c r="C36" s="245"/>
      <c r="D36" s="245"/>
    </row>
    <row r="37" spans="2:4" x14ac:dyDescent="0.2">
      <c r="B37" s="245"/>
      <c r="C37" s="245"/>
      <c r="D37" s="245"/>
    </row>
    <row r="38" spans="2:4" x14ac:dyDescent="0.2">
      <c r="B38" s="245"/>
      <c r="C38" s="245"/>
      <c r="D38" s="245"/>
    </row>
    <row r="39" spans="2:4" x14ac:dyDescent="0.2">
      <c r="B39" s="164"/>
      <c r="C39" s="164"/>
      <c r="D39" s="164"/>
    </row>
    <row r="40" spans="2:4" ht="15" x14ac:dyDescent="0.25">
      <c r="B40" s="199" t="s">
        <v>143</v>
      </c>
      <c r="C40" s="238"/>
      <c r="D40" s="196" t="s">
        <v>3</v>
      </c>
    </row>
    <row r="41" spans="2:4" ht="15" x14ac:dyDescent="0.25">
      <c r="B41" s="199" t="s">
        <v>141</v>
      </c>
      <c r="C41" s="233"/>
      <c r="D41" s="196" t="s">
        <v>3</v>
      </c>
    </row>
    <row r="42" spans="2:4" ht="15" x14ac:dyDescent="0.25">
      <c r="B42" s="199" t="s">
        <v>51</v>
      </c>
      <c r="C42" s="238"/>
      <c r="D42" s="196" t="s">
        <v>3</v>
      </c>
    </row>
    <row r="43" spans="2:4" ht="15" x14ac:dyDescent="0.25">
      <c r="B43" s="199" t="s">
        <v>50</v>
      </c>
      <c r="C43" s="238"/>
      <c r="D43" s="196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9" t="s">
        <v>214</v>
      </c>
      <c r="C49" s="237"/>
      <c r="D49" s="196" t="s">
        <v>5</v>
      </c>
    </row>
    <row r="50" spans="2:4" ht="15" x14ac:dyDescent="0.25">
      <c r="B50" s="199" t="s">
        <v>208</v>
      </c>
      <c r="C50" s="237"/>
      <c r="D50" s="196" t="s">
        <v>5</v>
      </c>
    </row>
    <row r="51" spans="2:4" ht="15" x14ac:dyDescent="0.25">
      <c r="B51" s="194" t="s">
        <v>132</v>
      </c>
      <c r="C51" s="206"/>
      <c r="D51" s="196"/>
    </row>
    <row r="52" spans="2:4" ht="15" x14ac:dyDescent="0.25">
      <c r="B52" s="199" t="s">
        <v>161</v>
      </c>
      <c r="C52" s="233"/>
      <c r="D52" s="196" t="s">
        <v>5</v>
      </c>
    </row>
    <row r="53" spans="2:4" ht="15" x14ac:dyDescent="0.25">
      <c r="B53" s="200" t="s">
        <v>162</v>
      </c>
      <c r="C53" s="201"/>
      <c r="D53" s="198" t="s">
        <v>5</v>
      </c>
    </row>
    <row r="54" spans="2:4" ht="15" x14ac:dyDescent="0.25">
      <c r="B54" s="199" t="s">
        <v>192</v>
      </c>
      <c r="C54" s="233"/>
      <c r="D54" s="196" t="s">
        <v>59</v>
      </c>
    </row>
    <row r="55" spans="2:4" ht="15" x14ac:dyDescent="0.25">
      <c r="B55" s="200" t="s">
        <v>127</v>
      </c>
      <c r="C55" s="246"/>
      <c r="D55" s="198" t="s">
        <v>5</v>
      </c>
    </row>
    <row r="56" spans="2:4" ht="15" x14ac:dyDescent="0.25">
      <c r="B56" s="242" t="s">
        <v>150</v>
      </c>
      <c r="C56" s="205"/>
      <c r="D56" s="244" t="s">
        <v>2</v>
      </c>
    </row>
    <row r="57" spans="2:4" ht="15" x14ac:dyDescent="0.25">
      <c r="B57" s="194" t="s">
        <v>159</v>
      </c>
      <c r="C57" s="195"/>
      <c r="D57" s="196"/>
    </row>
    <row r="58" spans="2:4" ht="15" x14ac:dyDescent="0.25">
      <c r="B58" s="194" t="s">
        <v>200</v>
      </c>
      <c r="C58" s="195" t="s">
        <v>213</v>
      </c>
      <c r="D58" s="196"/>
    </row>
    <row r="59" spans="2:4" ht="15" x14ac:dyDescent="0.25">
      <c r="B59" s="197" t="s">
        <v>158</v>
      </c>
      <c r="C59" s="227"/>
      <c r="D59" s="198"/>
    </row>
    <row r="60" spans="2:4" x14ac:dyDescent="0.2">
      <c r="B60" s="245"/>
      <c r="C60" s="245"/>
      <c r="D60" s="245"/>
    </row>
    <row r="61" spans="2:4" x14ac:dyDescent="0.2">
      <c r="B61" s="245"/>
      <c r="C61" s="245"/>
      <c r="D61" s="245"/>
    </row>
  </sheetData>
  <dataValidations count="3">
    <dataValidation type="list" allowBlank="1" showInputMessage="1" showErrorMessage="1" sqref="C23 C57">
      <formula1>"a,b,c,d,e,f,g,h,i,j,"</formula1>
    </dataValidation>
    <dataValidation type="list" allowBlank="1" showInputMessage="1" showErrorMessage="1" sqref="C24 C58">
      <formula1>"Ja,Nei"</formula1>
    </dataValidation>
    <dataValidation type="list" allowBlank="1" showInputMessage="1" showErrorMessage="1" sqref="C25 C59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AJH</cp:lastModifiedBy>
  <cp:lastPrinted>2017-05-06T10:04:13Z</cp:lastPrinted>
  <dcterms:created xsi:type="dcterms:W3CDTF">2000-05-18T12:37:17Z</dcterms:created>
  <dcterms:modified xsi:type="dcterms:W3CDTF">2018-05-29T12:05:14Z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