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"/>
    </mc:Choice>
  </mc:AlternateContent>
  <bookViews>
    <workbookView xWindow="12915" yWindow="0" windowWidth="15705" windowHeight="12825" tabRatio="601" firstSheet="1" activeTab="1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Satser!$B$3:$I$9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Satser!$A$41:$I$43</definedName>
    <definedName name="pleie">Satser!$A$23:$I$27</definedName>
    <definedName name="_xlnm.Print_Area" localSheetId="1">Utslag!$A$1:$F$60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Utslag!$A$1:$F$60</definedName>
    <definedName name="Z_CCA592C6_FA5B_4C3F_AAFD_7D399E08D11C_.wvu.Rows" localSheetId="1" hidden="1">Utslag!$129:$129,Utslag!#REF!</definedName>
    <definedName name="økohusd">Satser!#REF!</definedName>
    <definedName name="Økologisk">Satser!#REF!</definedName>
  </definedNames>
  <calcPr calcId="171027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23" i="2" l="1"/>
  <c r="F30" i="2" l="1"/>
  <c r="F16" i="2"/>
  <c r="F15" i="2"/>
  <c r="F9" i="2" l="1"/>
  <c r="M32" i="3" l="1"/>
  <c r="M31" i="3"/>
  <c r="L32" i="3"/>
  <c r="L31" i="3"/>
  <c r="D14" i="3"/>
  <c r="F12" i="2"/>
  <c r="F11" i="2"/>
  <c r="F10" i="2"/>
  <c r="N32" i="3" l="1"/>
  <c r="N31" i="3"/>
  <c r="F32" i="2"/>
  <c r="F31" i="2"/>
  <c r="F24" i="2"/>
  <c r="F21" i="2"/>
  <c r="I173" i="3"/>
  <c r="E104" i="3"/>
  <c r="D13" i="3"/>
  <c r="F13" i="2"/>
  <c r="N33" i="3" l="1"/>
  <c r="F17" i="2" s="1"/>
  <c r="F7" i="2"/>
  <c r="F5" i="2"/>
  <c r="E64" i="3"/>
  <c r="F64" i="3" s="1"/>
  <c r="E63" i="3"/>
  <c r="F63" i="3" s="1"/>
  <c r="E62" i="3"/>
  <c r="F62" i="3" s="1"/>
  <c r="E61" i="3"/>
  <c r="G61" i="3" s="1"/>
  <c r="E46" i="3"/>
  <c r="E47" i="3"/>
  <c r="E48" i="3"/>
  <c r="F48" i="3" s="1"/>
  <c r="F60" i="3"/>
  <c r="G60" i="3"/>
  <c r="F59" i="3"/>
  <c r="G59" i="3"/>
  <c r="E174" i="3"/>
  <c r="G174" i="3" s="1"/>
  <c r="E175" i="3"/>
  <c r="G175" i="3" s="1"/>
  <c r="E176" i="3"/>
  <c r="G176" i="3" s="1"/>
  <c r="E177" i="3"/>
  <c r="G177" i="3" s="1"/>
  <c r="E178" i="3"/>
  <c r="G178" i="3" s="1"/>
  <c r="E179" i="3"/>
  <c r="G179" i="3" s="1"/>
  <c r="E180" i="3"/>
  <c r="G180" i="3" s="1"/>
  <c r="E181" i="3"/>
  <c r="G181" i="3" s="1"/>
  <c r="E182" i="3"/>
  <c r="G182" i="3" s="1"/>
  <c r="E183" i="3"/>
  <c r="G183" i="3" s="1"/>
  <c r="E173" i="3"/>
  <c r="G173" i="3" s="1"/>
  <c r="G184" i="3" l="1"/>
  <c r="G64" i="3"/>
  <c r="G63" i="3"/>
  <c r="G62" i="3"/>
  <c r="F61" i="3"/>
  <c r="C75" i="3" l="1"/>
  <c r="D75" i="3"/>
  <c r="E122" i="3"/>
  <c r="E119" i="3"/>
  <c r="E116" i="3"/>
  <c r="E113" i="3"/>
  <c r="E110" i="3"/>
  <c r="E107" i="3"/>
  <c r="E52" i="3"/>
  <c r="E75" i="3" l="1"/>
  <c r="E43" i="3"/>
  <c r="E42" i="3"/>
  <c r="E40" i="3"/>
  <c r="E39" i="3"/>
  <c r="E36" i="3"/>
  <c r="E35" i="3"/>
  <c r="E32" i="3"/>
  <c r="E29" i="3"/>
  <c r="E28" i="3"/>
  <c r="E26" i="3"/>
  <c r="E27" i="3"/>
  <c r="L6" i="3"/>
  <c r="I16" i="3"/>
  <c r="I10" i="3"/>
  <c r="E10" i="3"/>
  <c r="F10" i="3"/>
  <c r="G10" i="3"/>
  <c r="H10" i="3"/>
  <c r="D10" i="3"/>
  <c r="C13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101" i="3" l="1"/>
  <c r="E98" i="3"/>
  <c r="E95" i="3"/>
  <c r="E92" i="3"/>
  <c r="E90" i="3"/>
  <c r="E87" i="3"/>
  <c r="E84" i="3"/>
  <c r="E81" i="3"/>
  <c r="H124" i="2" l="1"/>
  <c r="J16" i="3"/>
  <c r="K16" i="3"/>
  <c r="L16" i="3"/>
  <c r="M16" i="3"/>
  <c r="N16" i="3"/>
  <c r="O16" i="3"/>
  <c r="F33" i="2" l="1"/>
  <c r="E192" i="3"/>
  <c r="D192" i="3"/>
  <c r="D193" i="3"/>
  <c r="G29" i="3" l="1"/>
  <c r="H208" i="3"/>
  <c r="E189" i="3"/>
  <c r="D190" i="3"/>
  <c r="F6" i="2"/>
  <c r="F8" i="2"/>
  <c r="F14" i="2" l="1"/>
  <c r="F29" i="3"/>
  <c r="E196" i="3" l="1"/>
  <c r="D189" i="3"/>
  <c r="L2" i="3"/>
  <c r="L3" i="3"/>
  <c r="F26" i="3"/>
  <c r="I26" i="3"/>
  <c r="G27" i="3"/>
  <c r="I27" i="3"/>
  <c r="F28" i="3"/>
  <c r="I29" i="3"/>
  <c r="G32" i="3"/>
  <c r="G35" i="3"/>
  <c r="G36" i="3"/>
  <c r="I218" i="3"/>
  <c r="J218" i="3" s="1"/>
  <c r="J219" i="3"/>
  <c r="K219" i="3"/>
  <c r="G39" i="3"/>
  <c r="G40" i="3"/>
  <c r="G42" i="3"/>
  <c r="F43" i="3"/>
  <c r="G46" i="3"/>
  <c r="E51" i="3"/>
  <c r="G51" i="3" s="1"/>
  <c r="F52" i="3"/>
  <c r="G52" i="3"/>
  <c r="C143" i="3"/>
  <c r="C145" i="3" s="1"/>
  <c r="C147" i="3" s="1"/>
  <c r="C144" i="3"/>
  <c r="C149" i="3" s="1"/>
  <c r="F101" i="3"/>
  <c r="G116" i="3"/>
  <c r="F196" i="3"/>
  <c r="G196" i="3"/>
  <c r="E197" i="3"/>
  <c r="F197" i="3"/>
  <c r="G197" i="3"/>
  <c r="C232" i="3"/>
  <c r="C234" i="3" s="1"/>
  <c r="H5" i="2"/>
  <c r="H8" i="2"/>
  <c r="H128" i="2"/>
  <c r="H127" i="2"/>
  <c r="H129" i="2"/>
  <c r="H12" i="2"/>
  <c r="H13" i="2"/>
  <c r="H18" i="2"/>
  <c r="H19" i="2"/>
  <c r="H24" i="2"/>
  <c r="H26" i="2"/>
  <c r="H32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G102" i="1" s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D127" i="1"/>
  <c r="G127" i="1" s="1"/>
  <c r="F127" i="1"/>
  <c r="D128" i="1"/>
  <c r="F128" i="1"/>
  <c r="G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D167" i="1"/>
  <c r="C262" i="1" s="1"/>
  <c r="D170" i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C258" i="1"/>
  <c r="B262" i="1"/>
  <c r="E167" i="1" s="1"/>
  <c r="B266" i="1"/>
  <c r="C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H296" i="1" s="1"/>
  <c r="E292" i="1"/>
  <c r="G292" i="1"/>
  <c r="F292" i="1"/>
  <c r="H292" i="1" s="1"/>
  <c r="E293" i="1"/>
  <c r="G293" i="1" s="1"/>
  <c r="E294" i="1"/>
  <c r="G294" i="1" s="1"/>
  <c r="E110" i="1"/>
  <c r="F110" i="1" s="1"/>
  <c r="F126" i="1"/>
  <c r="F104" i="1"/>
  <c r="E91" i="1" l="1"/>
  <c r="F91" i="1" s="1"/>
  <c r="G126" i="1"/>
  <c r="G91" i="1"/>
  <c r="C14" i="3"/>
  <c r="E14" i="3" s="1"/>
  <c r="D245" i="1"/>
  <c r="E246" i="1" s="1"/>
  <c r="E282" i="1" s="1"/>
  <c r="D210" i="1" s="1"/>
  <c r="G131" i="1"/>
  <c r="G111" i="1"/>
  <c r="F105" i="1"/>
  <c r="E53" i="1"/>
  <c r="L5" i="3"/>
  <c r="L7" i="3" s="1"/>
  <c r="H113" i="2"/>
  <c r="E35" i="1"/>
  <c r="G117" i="1"/>
  <c r="F117" i="1"/>
  <c r="E122" i="1"/>
  <c r="F122" i="1" s="1"/>
  <c r="G103" i="1"/>
  <c r="E71" i="1"/>
  <c r="E27" i="1"/>
  <c r="H20" i="2"/>
  <c r="G133" i="1"/>
  <c r="E34" i="1"/>
  <c r="E32" i="1"/>
  <c r="F35" i="3"/>
  <c r="D266" i="1"/>
  <c r="E267" i="1" s="1"/>
  <c r="D258" i="1"/>
  <c r="E259" i="1" s="1"/>
  <c r="D246" i="1"/>
  <c r="E36" i="1"/>
  <c r="E31" i="1"/>
  <c r="F51" i="3"/>
  <c r="F92" i="3"/>
  <c r="G92" i="3"/>
  <c r="G157" i="1"/>
  <c r="F157" i="1"/>
  <c r="G110" i="1"/>
  <c r="E98" i="1"/>
  <c r="D271" i="1"/>
  <c r="E272" i="1" s="1"/>
  <c r="E95" i="1"/>
  <c r="E33" i="1"/>
  <c r="E25" i="1"/>
  <c r="D279" i="1"/>
  <c r="E280" i="1" s="1"/>
  <c r="D196" i="3"/>
  <c r="H196" i="3" s="1"/>
  <c r="F116" i="3"/>
  <c r="E109" i="1"/>
  <c r="E70" i="1"/>
  <c r="D250" i="1"/>
  <c r="E251" i="1" s="1"/>
  <c r="F111" i="1"/>
  <c r="G132" i="1"/>
  <c r="E30" i="1"/>
  <c r="C29" i="1"/>
  <c r="E29" i="1" s="1"/>
  <c r="E26" i="1"/>
  <c r="E24" i="1"/>
  <c r="D197" i="3"/>
  <c r="H197" i="3" s="1"/>
  <c r="D255" i="1"/>
  <c r="C22" i="1"/>
  <c r="C23" i="1" s="1"/>
  <c r="E23" i="1" s="1"/>
  <c r="E18" i="3"/>
  <c r="F36" i="3"/>
  <c r="F32" i="3"/>
  <c r="K218" i="3"/>
  <c r="E16" i="3"/>
  <c r="E15" i="3"/>
  <c r="F39" i="3"/>
  <c r="F46" i="3"/>
  <c r="I43" i="3"/>
  <c r="G43" i="3"/>
  <c r="G28" i="3"/>
  <c r="F84" i="3"/>
  <c r="G84" i="3"/>
  <c r="F95" i="3"/>
  <c r="G95" i="3"/>
  <c r="G87" i="3"/>
  <c r="F87" i="3"/>
  <c r="G48" i="3"/>
  <c r="F42" i="3"/>
  <c r="G101" i="3"/>
  <c r="E19" i="3"/>
  <c r="I42" i="3"/>
  <c r="F27" i="3"/>
  <c r="F40" i="3"/>
  <c r="G26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G122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E20" i="3" l="1"/>
  <c r="F18" i="2" s="1"/>
  <c r="G65" i="3"/>
  <c r="H185" i="3"/>
  <c r="F20" i="2"/>
  <c r="H33" i="2"/>
  <c r="F65" i="3"/>
  <c r="E22" i="1"/>
  <c r="E37" i="1" s="1"/>
  <c r="H30" i="2" s="1"/>
  <c r="G95" i="1"/>
  <c r="F95" i="1"/>
  <c r="G109" i="1"/>
  <c r="F109" i="1"/>
  <c r="G98" i="1"/>
  <c r="F98" i="1"/>
  <c r="D198" i="3"/>
  <c r="E198" i="3"/>
  <c r="F198" i="3"/>
  <c r="G198" i="3"/>
  <c r="G81" i="3"/>
  <c r="F81" i="3"/>
  <c r="F90" i="3"/>
  <c r="G90" i="3"/>
  <c r="F98" i="3"/>
  <c r="G98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F67" i="3" l="1"/>
  <c r="C72" i="3"/>
  <c r="C69" i="3"/>
  <c r="C71" i="3"/>
  <c r="C70" i="3"/>
  <c r="G67" i="3"/>
  <c r="F124" i="3"/>
  <c r="I71" i="3"/>
  <c r="H198" i="3"/>
  <c r="H199" i="3" s="1"/>
  <c r="H207" i="3" s="1"/>
  <c r="G124" i="3"/>
  <c r="C203" i="1"/>
  <c r="C207" i="1" s="1"/>
  <c r="H31" i="2" s="1"/>
  <c r="C206" i="1"/>
  <c r="C205" i="1"/>
  <c r="C204" i="1"/>
  <c r="G31" i="2" s="1"/>
  <c r="E19" i="2" l="1"/>
  <c r="C131" i="3"/>
  <c r="C130" i="3"/>
  <c r="C129" i="3"/>
  <c r="C73" i="3"/>
  <c r="D77" i="3"/>
  <c r="C128" i="3"/>
  <c r="C152" i="3"/>
  <c r="C132" i="3" l="1"/>
  <c r="F19" i="2"/>
  <c r="C151" i="3"/>
  <c r="C150" i="3"/>
  <c r="C153" i="3"/>
  <c r="C154" i="3"/>
  <c r="I70" i="3" l="1"/>
  <c r="I72" i="3"/>
  <c r="I69" i="3"/>
  <c r="I73" i="3" l="1"/>
  <c r="F25" i="2"/>
  <c r="F26" i="2" s="1"/>
  <c r="F34" i="2" s="1"/>
</calcChain>
</file>

<file path=xl/comments1.xml><?xml version="1.0" encoding="utf-8"?>
<comments xmlns="http://schemas.openxmlformats.org/spreadsheetml/2006/main">
  <authors>
    <author>Hanne Margrete Johnsen</author>
    <author>BrukerBondelaget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Lagt inn -1000, for å fjerne tilskudd på første 1000 som blir gitt regionalt
</t>
        </r>
      </text>
    </comment>
    <comment ref="F192" authorId="1" shape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I219" authorId="1" shape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<sst xmlns="http://schemas.openxmlformats.org/spreadsheetml/2006/main" count="703" uniqueCount="295">
  <si>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</si>
  <si>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</si>
  <si>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</si>
  <si>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</si>
  <si>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</si>
  <si>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</si>
  <si>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</si>
  <si>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</si>
  <si>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</si>
  <si>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</si>
  <si>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</si>
  <si>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</si>
  <si>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</si>
  <si>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</si>
  <si>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</si>
  <si>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</si>
  <si>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</si>
  <si>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</si>
  <si>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</si>
  <si>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</si>
  <si>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</si>
  <si>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</si>
  <si>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</si>
  <si>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</si>
  <si>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</si>
  <si>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</si>
  <si>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</si>
  <si>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</si>
  <si>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</si>
  <si>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</si>
  <si>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</si>
  <si>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</si>
  <si>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</si>
  <si>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</si>
  <si>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</si>
  <si>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</si>
  <si>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</si>
  <si>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</si>
  <si>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</si>
  <si>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</si>
  <si>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</si>
  <si>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</si>
  <si>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</si>
  <si>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</si>
  <si>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</si>
  <si>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</si>
  <si>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</si>
  <si>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</si>
  <si>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</si>
  <si>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</si>
  <si>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</si>
  <si>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</si>
  <si>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</si>
  <si>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</si>
  <si>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</si>
  <si>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</si>
  <si>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</si>
  <si>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</si>
  <si>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</si>
  <si>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</si>
  <si>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</si>
  <si>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</si>
  <si>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</si>
  <si>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</si>
  <si>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</si>
  <si>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</si>
  <si>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</si>
  <si>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</si>
  <si>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</si>
  <si>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</si>
  <si>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</si>
  <si>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</si>
  <si>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</si>
  <si>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</si>
  <si>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</si>
  <si>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</si>
  <si>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</si>
  <si>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</si>
  <si>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</si>
  <si>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</si>
  <si>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</si>
  <si>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</si>
  <si>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</si>
  <si>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</si>
  <si>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</si>
  <si>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</si>
  <si>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</si>
  <si>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</si>
  <si>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</si>
  <si>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</si>
  <si>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</si>
  <si>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</si>
  <si>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</si>
  <si>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</si>
  <si>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</si>
  <si>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</si>
  <si>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</si>
  <si>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</si>
  <si>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</si>
  <si>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</si>
  <si>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</si>
  <si>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</si>
  <si>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</si>
  <si>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</si>
  <si>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</si>
  <si>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</si>
  <si>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</si>
  <si>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</si>
  <si>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</si>
  <si>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</si>
  <si>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</si>
  <si>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</si>
  <si>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</si>
  <si>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</si>
  <si>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</si>
  <si>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</si>
  <si>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</si>
  <si>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</si>
  <si>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</si>
  <si>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</si>
  <si>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</si>
  <si>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</si>
  <si>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</si>
  <si>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</si>
  <si>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</si>
  <si>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</si>
  <si>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</si>
  <si>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</si>
  <si>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</si>
  <si>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</si>
  <si>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</si>
  <si>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</si>
  <si>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</si>
  <si>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</si>
  <si>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</si>
  <si>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</si>
  <si>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</si>
  <si>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</si>
  <si>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</si>
  <si>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</si>
  <si>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</si>
  <si>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</si>
  <si>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</si>
  <si>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</si>
  <si>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</si>
  <si>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</si>
  <si>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</si>
  <si>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</si>
  <si>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</si>
  <si>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</si>
  <si>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</si>
  <si>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</si>
  <si>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</si>
  <si>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</si>
  <si>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</si>
  <si>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</si>
  <si>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</si>
  <si>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</si>
  <si>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</si>
  <si>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</si>
  <si>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</si>
  <si>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</si>
  <si>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</si>
  <si>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</si>
  <si>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</si>
  <si>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</si>
  <si>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</si>
  <si>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</si>
  <si>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</si>
  <si>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</si>
  <si>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</si>
  <si>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</si>
  <si>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</si>
  <si>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</si>
  <si>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</si>
  <si>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</si>
  <si>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</si>
  <si>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</si>
  <si>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</si>
  <si>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</si>
  <si>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</si>
  <si>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</si>
  <si>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</si>
  <si>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</si>
  <si>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</si>
  <si>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</si>
  <si>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</si>
  <si>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</si>
  <si>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</si>
  <si>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</si>
  <si>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</si>
  <si>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</si>
  <si>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</si>
  <si>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</si>
  <si>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</si>
  <si>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</si>
  <si>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</si>
  <si>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</si>
  <si>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</si>
  <si>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</si>
  <si>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</si>
  <si>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Kr</t>
  </si>
  <si>
    <t>Fjørfekjøtt</t>
  </si>
  <si>
    <t xml:space="preserve">NB! NB! DETTE UTSLAGET ER IKKE DET SAMME SOM ØKT INNTEKT !!! </t>
  </si>
  <si>
    <t>Samlet gjeld på jordbruksdrifta</t>
  </si>
  <si>
    <t>Rentekostnader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</si>
  <si>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</si>
  <si>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</si>
  <si>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</si>
  <si>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</si>
  <si>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</si>
  <si>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</si>
  <si>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</si>
  <si>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</si>
  <si>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</si>
  <si>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</si>
  <si>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</si>
  <si>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</si>
  <si>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2) Følgende større elementer er ikke tatt med i utslagsberegningene:</t>
  </si>
  <si>
    <t>Forventet kostnadsvekst:</t>
  </si>
  <si>
    <t>Kostnader  (NB MÅ LEGGES INN)</t>
  </si>
  <si>
    <t>Kroner utbetalt i Regionale miljøprogram (RMP)</t>
  </si>
  <si>
    <t>Reginalt miljøprogram (RMP)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</si>
  <si>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</si>
  <si>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</si>
  <si>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</si>
  <si>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</si>
  <si>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</si>
  <si>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</si>
  <si>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Avløsertilskudd</t>
  </si>
  <si>
    <t xml:space="preserve"> dyr</t>
  </si>
  <si>
    <t xml:space="preserve"> * </t>
  </si>
  <si>
    <t>Kraftfôrmengde</t>
  </si>
  <si>
    <t>Driftskostnader (Variable + Faste) ekskl. kraftfôr</t>
  </si>
  <si>
    <t>Andre driftskostnader</t>
  </si>
  <si>
    <t>5 øre/liter</t>
  </si>
  <si>
    <t>Egg på Vestlandet?</t>
  </si>
  <si>
    <t>Egg i Nord-Norge?</t>
  </si>
  <si>
    <t xml:space="preserve">Distriktstilskudd egg </t>
  </si>
  <si>
    <t>Alle dekar</t>
  </si>
  <si>
    <t xml:space="preserve">Frukt </t>
  </si>
  <si>
    <t>1-100</t>
  </si>
  <si>
    <t>101+</t>
  </si>
  <si>
    <t>50+</t>
  </si>
  <si>
    <t xml:space="preserve"> 1-50</t>
  </si>
  <si>
    <t>1-35 dyr, Jæren</t>
  </si>
  <si>
    <t>Avlsgris Jæren?</t>
  </si>
  <si>
    <t>Avlsgris Nord-Norge?</t>
  </si>
  <si>
    <t>Avlsgris Sør-Norge?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</si>
  <si>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</si>
  <si>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</si>
  <si>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</si>
  <si>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</si>
  <si>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</si>
  <si>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</si>
  <si>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</si>
  <si>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</si>
  <si>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</si>
  <si>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</si>
  <si>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>Utmarksbeitetilskudd</t>
  </si>
  <si>
    <t xml:space="preserve"> - Storfe</t>
  </si>
  <si>
    <t xml:space="preserve"> - Sau/lam</t>
  </si>
  <si>
    <t xml:space="preserve"> - Geit</t>
  </si>
  <si>
    <t xml:space="preserve"> - Hest </t>
  </si>
  <si>
    <t>Matkorn (hvete)</t>
  </si>
  <si>
    <t>Matkorn (rug)</t>
  </si>
  <si>
    <t>Bygg</t>
  </si>
  <si>
    <t>Matkorn, hvete</t>
  </si>
  <si>
    <t>Matkorn, rug</t>
  </si>
  <si>
    <t>Bygg, oljefrø og annet fôrkorn</t>
  </si>
  <si>
    <t>2,0 %</t>
  </si>
  <si>
    <t>0 %</t>
  </si>
  <si>
    <t>Distriktstilskudd frukt, bær og grønnsaker</t>
  </si>
  <si>
    <t>Omsatt mengde bær</t>
  </si>
  <si>
    <t>Utslag i 2017</t>
  </si>
  <si>
    <r>
      <t>SUM UTSLAG 2017</t>
    </r>
    <r>
      <rPr>
        <b/>
        <sz val="11"/>
        <color indexed="10"/>
        <rFont val="Arial"/>
        <family val="2"/>
      </rPr>
      <t xml:space="preserve"> 2)</t>
    </r>
  </si>
  <si>
    <t>SUM UTSLAG 2017 ETTER KOSTNADSDEKKING</t>
  </si>
  <si>
    <t xml:space="preserve"> * Økte investeringstilskudd med 26,5 mill. kr </t>
  </si>
  <si>
    <t xml:space="preserve"> - Storfekjøtt (ekskl. ku) kvalitet O</t>
  </si>
  <si>
    <t xml:space="preserve"> - Storfekjøtt (ekskl. ku) kvalitet O+ eller bedre</t>
  </si>
  <si>
    <t>Kvalitetstilskudd storfeslakt</t>
  </si>
  <si>
    <t>Bruttoinntekter av  frukt og grønt</t>
  </si>
  <si>
    <t>Frukt og grønt</t>
  </si>
  <si>
    <t>Utslag for ditt bruk:</t>
  </si>
  <si>
    <t xml:space="preserve"> * Endringer i ullklasser er ikke lagt inn i beregningene.</t>
  </si>
  <si>
    <t>Fjørfe forventet prisvekst</t>
  </si>
  <si>
    <t>Bevaringsverdige husdyrraser:</t>
  </si>
  <si>
    <t>Inntektsutslag av Jordbruksavtalen 2016-2017</t>
  </si>
  <si>
    <t>0,09 kr/kg</t>
  </si>
  <si>
    <t>Omsatt mengde frukt kl1</t>
  </si>
  <si>
    <t>Omsatt mengde pressfrukt</t>
  </si>
  <si>
    <t>3 øre/kg</t>
  </si>
  <si>
    <t>6-9 øre/kg</t>
  </si>
  <si>
    <t>15 øre/kg</t>
  </si>
  <si>
    <t>2,5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</si>
</sst>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%"/>
    <numFmt numFmtId="166" formatCode="0.000000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1" fillId="6" borderId="24" xfId="0" applyFont="1" applyFill="1" applyBorder="1" applyAlignment="1" applyProtection="1">
      <alignment horizontal="right"/>
    </xf>
    <xf numFmtId="3" fontId="21" fillId="6" borderId="25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5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6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8" fillId="3" borderId="27" xfId="0" applyFont="1" applyFill="1" applyBorder="1" applyProtection="1"/>
    <xf numFmtId="0" fontId="10" fillId="3" borderId="0" xfId="0" applyFont="1" applyFill="1" applyBorder="1" applyProtection="1"/>
    <xf numFmtId="0" fontId="11" fillId="3" borderId="27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7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28" xfId="0" applyFont="1" applyFill="1" applyBorder="1" applyProtection="1"/>
    <xf numFmtId="3" fontId="30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8" fillId="15" borderId="5" xfId="0" applyFont="1" applyFill="1" applyBorder="1" applyProtection="1"/>
    <xf numFmtId="3" fontId="32" fillId="15" borderId="16" xfId="0" applyNumberFormat="1" applyFont="1" applyFill="1" applyBorder="1" applyAlignment="1" applyProtection="1">
      <alignment horizontal="right"/>
    </xf>
    <xf numFmtId="0" fontId="34" fillId="15" borderId="5" xfId="0" applyFont="1" applyFill="1" applyBorder="1" applyProtection="1"/>
    <xf numFmtId="3" fontId="32" fillId="15" borderId="20" xfId="0" applyNumberFormat="1" applyFont="1" applyFill="1" applyBorder="1" applyAlignment="1" applyProtection="1">
      <alignment horizontal="right"/>
    </xf>
    <xf numFmtId="3" fontId="37" fillId="15" borderId="16" xfId="0" applyNumberFormat="1" applyFont="1" applyFill="1" applyBorder="1" applyProtection="1"/>
    <xf numFmtId="3" fontId="21" fillId="14" borderId="16" xfId="0" applyNumberFormat="1" applyFont="1" applyFill="1" applyBorder="1" applyProtection="1"/>
    <xf numFmtId="0" fontId="22" fillId="14" borderId="4" xfId="0" applyFont="1" applyFill="1" applyBorder="1" applyProtection="1"/>
    <xf numFmtId="3" fontId="21" fillId="14" borderId="29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165" fontId="2" fillId="13" borderId="0" xfId="0" applyNumberFormat="1" applyFont="1" applyFill="1" applyBorder="1" applyProtection="1"/>
    <xf numFmtId="0" fontId="39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40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7" xfId="0" applyFont="1" applyFill="1" applyBorder="1" applyProtection="1"/>
    <xf numFmtId="0" fontId="10" fillId="17" borderId="27" xfId="0" applyFont="1" applyFill="1" applyBorder="1" applyProtection="1"/>
    <xf numFmtId="0" fontId="10" fillId="17" borderId="30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3" fontId="12" fillId="0" borderId="5" xfId="0" applyNumberFormat="1" applyFont="1" applyFill="1" applyBorder="1" applyProtection="1">
      <protection locked="0"/>
    </xf>
    <xf numFmtId="0" fontId="23" fillId="2" borderId="30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2" fontId="10" fillId="13" borderId="0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Alignment="1" applyProtection="1">
      <alignment horizontal="right"/>
    </xf>
    <xf numFmtId="0" fontId="4" fillId="10" borderId="0" xfId="0" applyFont="1" applyFill="1" applyBorder="1"/>
    <xf numFmtId="0" fontId="2" fillId="0" borderId="1" xfId="0" applyFont="1" applyBorder="1"/>
    <xf numFmtId="49" fontId="4" fillId="9" borderId="0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40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 applyBorder="1"/>
    <xf numFmtId="0" fontId="18" fillId="18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9" borderId="0" xfId="0" applyFont="1" applyFill="1" applyBorder="1"/>
    <xf numFmtId="0" fontId="1" fillId="19" borderId="0" xfId="0" applyFont="1" applyFill="1"/>
    <xf numFmtId="0" fontId="1" fillId="19" borderId="1" xfId="0" applyFont="1" applyFill="1" applyBorder="1"/>
    <xf numFmtId="0" fontId="2" fillId="19" borderId="0" xfId="0" applyFont="1" applyFill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3" fontId="3" fillId="0" borderId="0" xfId="0" applyNumberFormat="1" applyFont="1" applyBorder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40" fillId="0" borderId="4" xfId="0" applyFont="1" applyBorder="1"/>
    <xf numFmtId="0" fontId="19" fillId="6" borderId="33" xfId="0" applyFont="1" applyFill="1" applyBorder="1" applyProtection="1"/>
    <xf numFmtId="0" fontId="10" fillId="12" borderId="7" xfId="0" applyFont="1" applyFill="1" applyBorder="1" applyProtection="1"/>
    <xf numFmtId="0" fontId="10" fillId="12" borderId="2" xfId="0" applyFont="1" applyFill="1" applyBorder="1" applyProtection="1"/>
    <xf numFmtId="0" fontId="32" fillId="15" borderId="12" xfId="0" applyFont="1" applyFill="1" applyBorder="1" applyProtection="1"/>
    <xf numFmtId="0" fontId="10" fillId="12" borderId="2" xfId="0" applyFont="1" applyFill="1" applyBorder="1" applyAlignment="1" applyProtection="1"/>
    <xf numFmtId="0" fontId="21" fillId="14" borderId="7" xfId="0" applyFont="1" applyFill="1" applyBorder="1" applyProtection="1"/>
    <xf numFmtId="0" fontId="36" fillId="11" borderId="0" xfId="0" applyFont="1" applyFill="1" applyBorder="1" applyProtection="1"/>
    <xf numFmtId="0" fontId="36" fillId="11" borderId="1" xfId="0" applyFont="1" applyFill="1" applyBorder="1" applyProtection="1"/>
    <xf numFmtId="0" fontId="31" fillId="12" borderId="2" xfId="0" applyFont="1" applyFill="1" applyBorder="1" applyProtection="1"/>
    <xf numFmtId="0" fontId="21" fillId="14" borderId="5" xfId="0" applyFont="1" applyFill="1" applyBorder="1" applyProtection="1"/>
    <xf numFmtId="0" fontId="23" fillId="2" borderId="0" xfId="0" applyFont="1" applyFill="1" applyBorder="1" applyProtection="1"/>
    <xf numFmtId="0" fontId="23" fillId="2" borderId="15" xfId="0" applyFont="1" applyFill="1" applyBorder="1" applyProtection="1"/>
    <xf numFmtId="0" fontId="27" fillId="3" borderId="23" xfId="0" applyFont="1" applyFill="1" applyBorder="1" applyProtection="1"/>
    <xf numFmtId="0" fontId="10" fillId="3" borderId="18" xfId="0" applyFont="1" applyFill="1" applyBorder="1" applyProtection="1"/>
    <xf numFmtId="0" fontId="27" fillId="3" borderId="29" xfId="0" applyFont="1" applyFill="1" applyBorder="1" applyProtection="1"/>
    <xf numFmtId="0" fontId="11" fillId="3" borderId="29" xfId="0" applyFont="1" applyFill="1" applyBorder="1" applyProtection="1"/>
    <xf numFmtId="0" fontId="11" fillId="3" borderId="16" xfId="0" applyFont="1" applyFill="1" applyBorder="1" applyProtection="1"/>
    <xf numFmtId="0" fontId="11" fillId="17" borderId="22" xfId="0" applyFont="1" applyFill="1" applyBorder="1" applyProtection="1"/>
    <xf numFmtId="0" fontId="10" fillId="3" borderId="20" xfId="0" applyFont="1" applyFill="1" applyBorder="1" applyProtection="1"/>
    <xf numFmtId="0" fontId="10" fillId="13" borderId="18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Border="1" applyProtection="1"/>
    <xf numFmtId="3" fontId="11" fillId="16" borderId="1" xfId="0" applyNumberFormat="1" applyFont="1" applyFill="1" applyBorder="1" applyProtection="1">
      <protection locked="0"/>
    </xf>
    <xf numFmtId="0" fontId="11" fillId="3" borderId="31" xfId="0" applyFont="1" applyFill="1" applyBorder="1" applyProtection="1"/>
    <xf numFmtId="0" fontId="13" fillId="6" borderId="32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4" xfId="0" applyFont="1" applyFill="1" applyBorder="1" applyAlignment="1" applyProtection="1">
      <alignment horizontal="right"/>
    </xf>
    <xf numFmtId="0" fontId="4" fillId="6" borderId="25" xfId="0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141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142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IF((Satser!L2+Satser!L3*0.6)&lt;200,(Satser!L2+Satser!L3*0.6),200)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143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141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144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145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148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147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144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145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151</v>
      </c>
      <c r="D285" t="s">
        <v>154</v>
      </c>
      <c r="E285" t="s">
        <v>155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152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153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156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AF660"/>
  <sheetViews>
    <sheetView tabSelected="1" topLeftCell="A2" zoomScale="80" zoomScaleNormal="80" workbookViewId="0">
      <selection activeCell="L3" sqref="L3"/>
    </sheetView>
  </sheetViews>
  <sheetFormatPr baseColWidth="10" defaultColWidth="9.140625" defaultRowHeight="12.75" x14ac:dyDescent="0.2"/>
  <cols>
    <col min="1" max="1" width="48.42578125" style="164" customWidth="1"/>
    <col min="2" max="2" width="11.140625" style="164" customWidth="1"/>
    <col min="3" max="3" width="9.85546875" style="164" customWidth="1"/>
    <col min="4" max="4" width="50.85546875" style="122" customWidth="1"/>
    <col min="5" max="5" width="18.5703125" style="122" customWidth="1"/>
    <col min="6" max="6" width="24.42578125" style="160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4"/>
  </cols>
  <sheetData>
    <row r="1" spans="1:8" ht="26.25" x14ac:dyDescent="0.4">
      <c r="A1" s="118" t="s">
        <v>287</v>
      </c>
      <c r="B1" s="121"/>
      <c r="C1" s="121"/>
      <c r="D1" s="235"/>
    </row>
    <row r="2" spans="1:8" ht="13.5" customHeight="1" thickBot="1" x14ac:dyDescent="0.25">
      <c r="A2" s="123"/>
      <c r="B2" s="123"/>
      <c r="C2" s="123"/>
      <c r="D2" s="124"/>
      <c r="E2" s="124"/>
      <c r="F2" s="161"/>
    </row>
    <row r="3" spans="1:8" ht="20.25" customHeight="1" thickBot="1" x14ac:dyDescent="0.35">
      <c r="A3" s="119" t="s">
        <v>122</v>
      </c>
      <c r="B3" s="120"/>
      <c r="C3" s="120"/>
      <c r="D3" s="184" t="s">
        <v>283</v>
      </c>
      <c r="E3" s="328" t="s">
        <v>274</v>
      </c>
      <c r="F3" s="329"/>
      <c r="G3" s="330" t="s">
        <v>140</v>
      </c>
      <c r="H3" s="331"/>
    </row>
    <row r="4" spans="1:8" ht="16.5" customHeight="1" x14ac:dyDescent="0.25">
      <c r="A4" s="190" t="s">
        <v>160</v>
      </c>
      <c r="B4" s="191">
        <v>1</v>
      </c>
      <c r="C4" s="317"/>
      <c r="D4" s="305"/>
      <c r="E4" s="176" t="s">
        <v>190</v>
      </c>
      <c r="F4" s="177" t="s">
        <v>194</v>
      </c>
      <c r="G4" s="126"/>
      <c r="H4" s="125" t="s">
        <v>1</v>
      </c>
    </row>
    <row r="5" spans="1:8" ht="16.5" customHeight="1" x14ac:dyDescent="0.25">
      <c r="A5" s="192" t="s">
        <v>199</v>
      </c>
      <c r="B5" s="193"/>
      <c r="C5" s="318"/>
      <c r="D5" s="306" t="s">
        <v>198</v>
      </c>
      <c r="E5" s="208" t="s">
        <v>235</v>
      </c>
      <c r="F5" s="209">
        <f>(B13+B14)*Satser!C208</f>
        <v>0</v>
      </c>
      <c r="G5" s="129">
        <v>0.09</v>
      </c>
      <c r="H5" s="130">
        <f>(B13+B14)*G5</f>
        <v>0</v>
      </c>
    </row>
    <row r="6" spans="1:8" ht="16.5" customHeight="1" x14ac:dyDescent="0.25">
      <c r="A6" s="194" t="s">
        <v>254</v>
      </c>
      <c r="B6" s="195" t="s">
        <v>215</v>
      </c>
      <c r="C6" s="318"/>
      <c r="D6" s="307" t="s">
        <v>79</v>
      </c>
      <c r="E6" s="210" t="s">
        <v>288</v>
      </c>
      <c r="F6" s="209">
        <f>B18*Satser!C210</f>
        <v>0</v>
      </c>
      <c r="G6" s="129"/>
      <c r="H6" s="130"/>
    </row>
    <row r="7" spans="1:8" ht="16.5" customHeight="1" x14ac:dyDescent="0.25">
      <c r="A7" s="194" t="s">
        <v>248</v>
      </c>
      <c r="B7" s="195" t="s">
        <v>215</v>
      </c>
      <c r="C7" s="318"/>
      <c r="D7" s="307" t="s">
        <v>51</v>
      </c>
      <c r="E7" s="210" t="s">
        <v>292</v>
      </c>
      <c r="F7" s="209">
        <f>($B$20*Satser!$C$213)+(Utslag!$B$21*Satser!$C$214)+(Utslag!$B$22*Satser!$C$215)+(Utslag!$B$23*Satser!$C$217)</f>
        <v>0</v>
      </c>
      <c r="G7" s="129"/>
      <c r="H7" s="130"/>
    </row>
    <row r="8" spans="1:8" ht="15" customHeight="1" x14ac:dyDescent="0.25">
      <c r="A8" s="194" t="s">
        <v>246</v>
      </c>
      <c r="B8" s="195" t="s">
        <v>215</v>
      </c>
      <c r="C8" s="318"/>
      <c r="D8" s="307" t="s">
        <v>38</v>
      </c>
      <c r="E8" s="210" t="s">
        <v>293</v>
      </c>
      <c r="F8" s="209">
        <f>B26*Satser!C220</f>
        <v>0</v>
      </c>
      <c r="G8" s="129">
        <v>2</v>
      </c>
      <c r="H8" s="130" t="e">
        <f>#REF!*G8</f>
        <v>#REF!</v>
      </c>
    </row>
    <row r="9" spans="1:8" ht="15" customHeight="1" x14ac:dyDescent="0.25">
      <c r="A9" s="194" t="s">
        <v>247</v>
      </c>
      <c r="B9" s="195" t="s">
        <v>215</v>
      </c>
      <c r="C9" s="318"/>
      <c r="D9" s="307" t="s">
        <v>282</v>
      </c>
      <c r="E9" s="210" t="s">
        <v>294</v>
      </c>
      <c r="F9" s="324">
        <f>B30*0.013</f>
        <v>0</v>
      </c>
      <c r="G9" s="129"/>
      <c r="H9" s="130"/>
    </row>
    <row r="10" spans="1:8" ht="15" customHeight="1" x14ac:dyDescent="0.25">
      <c r="A10" s="194" t="s">
        <v>236</v>
      </c>
      <c r="B10" s="195" t="s">
        <v>215</v>
      </c>
      <c r="C10" s="318"/>
      <c r="D10" s="307" t="s">
        <v>209</v>
      </c>
      <c r="E10" s="210" t="s">
        <v>270</v>
      </c>
      <c r="F10" s="209">
        <f>58.7*E10*B15</f>
        <v>0</v>
      </c>
      <c r="G10" s="129"/>
      <c r="H10" s="130"/>
    </row>
    <row r="11" spans="1:8" ht="15" customHeight="1" x14ac:dyDescent="0.25">
      <c r="A11" s="197" t="s">
        <v>237</v>
      </c>
      <c r="B11" s="227" t="s">
        <v>215</v>
      </c>
      <c r="C11" s="323"/>
      <c r="D11" s="307" t="s">
        <v>211</v>
      </c>
      <c r="E11" s="210" t="s">
        <v>271</v>
      </c>
      <c r="F11" s="209">
        <f>63*E11*B19</f>
        <v>0</v>
      </c>
      <c r="G11" s="129"/>
      <c r="H11" s="130"/>
    </row>
    <row r="12" spans="1:8" ht="15.75" customHeight="1" x14ac:dyDescent="0.25">
      <c r="A12" s="194" t="s">
        <v>67</v>
      </c>
      <c r="B12" s="193"/>
      <c r="C12" s="318"/>
      <c r="D12" s="307" t="s">
        <v>212</v>
      </c>
      <c r="E12" s="210" t="s">
        <v>271</v>
      </c>
      <c r="F12" s="209">
        <f>19.1*E12*B24</f>
        <v>0</v>
      </c>
      <c r="G12" s="129">
        <v>0.02</v>
      </c>
      <c r="H12" s="130">
        <f>B20*G12</f>
        <v>0</v>
      </c>
    </row>
    <row r="13" spans="1:8" ht="15.75" customHeight="1" x14ac:dyDescent="0.25">
      <c r="A13" s="199" t="s">
        <v>13</v>
      </c>
      <c r="B13" s="237"/>
      <c r="C13" s="196" t="s">
        <v>14</v>
      </c>
      <c r="D13" s="307" t="s">
        <v>285</v>
      </c>
      <c r="E13" s="210" t="s">
        <v>271</v>
      </c>
      <c r="F13" s="211">
        <f>25.01*E13*B25</f>
        <v>0</v>
      </c>
      <c r="G13" s="129">
        <v>0.02</v>
      </c>
      <c r="H13" s="130" t="e">
        <f>#REF!*G13</f>
        <v>#REF!</v>
      </c>
    </row>
    <row r="14" spans="1:8" ht="15.75" customHeight="1" x14ac:dyDescent="0.25">
      <c r="A14" s="199" t="s">
        <v>15</v>
      </c>
      <c r="B14" s="237"/>
      <c r="C14" s="196" t="s">
        <v>14</v>
      </c>
      <c r="D14" s="308" t="s">
        <v>208</v>
      </c>
      <c r="E14" s="220"/>
      <c r="F14" s="221">
        <f>SUM(F5:F13)</f>
        <v>0</v>
      </c>
      <c r="G14" s="129"/>
      <c r="H14" s="130"/>
    </row>
    <row r="15" spans="1:8" ht="15.75" customHeight="1" x14ac:dyDescent="0.25">
      <c r="A15" s="199" t="s">
        <v>138</v>
      </c>
      <c r="B15" s="237"/>
      <c r="C15" s="196" t="s">
        <v>2</v>
      </c>
      <c r="D15" s="307" t="s">
        <v>280</v>
      </c>
      <c r="E15" s="210"/>
      <c r="F15" s="209">
        <f>(B16+B17)*-4+(B17*7)+(B16*3)</f>
        <v>0</v>
      </c>
      <c r="G15" s="129"/>
      <c r="H15" s="130"/>
    </row>
    <row r="16" spans="1:8" ht="15.75" customHeight="1" x14ac:dyDescent="0.25">
      <c r="A16" s="199" t="s">
        <v>278</v>
      </c>
      <c r="B16" s="237"/>
      <c r="C16" s="196" t="s">
        <v>2</v>
      </c>
      <c r="D16" s="307" t="s">
        <v>238</v>
      </c>
      <c r="E16" s="210"/>
      <c r="F16" s="209">
        <f>IF($B$10= "Ja",-0.2*B24,0)+IF($B$11="Ja",-0.45*$B$24,0)</f>
        <v>0</v>
      </c>
      <c r="G16" s="129"/>
      <c r="H16" s="130"/>
    </row>
    <row r="17" spans="1:8" ht="15.75" customHeight="1" x14ac:dyDescent="0.25">
      <c r="A17" s="199" t="s">
        <v>279</v>
      </c>
      <c r="B17" s="237"/>
      <c r="C17" s="196" t="s">
        <v>2</v>
      </c>
      <c r="D17" s="307" t="s">
        <v>272</v>
      </c>
      <c r="E17" s="210"/>
      <c r="F17" s="209">
        <f>Satser!$N$33+1*B28</f>
        <v>0</v>
      </c>
      <c r="G17" s="129"/>
      <c r="H17" s="130"/>
    </row>
    <row r="18" spans="1:8" ht="15.75" customHeight="1" x14ac:dyDescent="0.25">
      <c r="A18" s="199" t="s">
        <v>165</v>
      </c>
      <c r="B18" s="237"/>
      <c r="C18" s="196" t="s">
        <v>2</v>
      </c>
      <c r="D18" s="307" t="s">
        <v>228</v>
      </c>
      <c r="E18" s="212"/>
      <c r="F18" s="209">
        <f>IF(B4="","Sone mangler",Satser!E20)</f>
        <v>0</v>
      </c>
      <c r="G18" s="129">
        <v>0.25</v>
      </c>
      <c r="H18" s="130">
        <f>B24*G18</f>
        <v>0</v>
      </c>
    </row>
    <row r="19" spans="1:8" ht="15.75" customHeight="1" x14ac:dyDescent="0.25">
      <c r="A19" s="199" t="s">
        <v>166</v>
      </c>
      <c r="B19" s="237"/>
      <c r="C19" s="196" t="s">
        <v>2</v>
      </c>
      <c r="D19" s="307" t="s">
        <v>66</v>
      </c>
      <c r="E19" s="213" t="str">
        <f>IF(Satser!C70&gt;0,"Toppavgrensing",IF(Satser!C71&gt;0,"Toppavgrensing",IF(Satser!C72&gt;0,"Toppavgr.før, ikke nå","")))</f>
        <v/>
      </c>
      <c r="F19" s="209">
        <f>Satser!C73</f>
        <v>0</v>
      </c>
      <c r="G19" s="135">
        <v>4.5999999999999999E-2</v>
      </c>
      <c r="H19" s="136">
        <f>B30*G19</f>
        <v>0</v>
      </c>
    </row>
    <row r="20" spans="1:8" ht="15.75" customHeight="1" x14ac:dyDescent="0.25">
      <c r="A20" s="199" t="s">
        <v>267</v>
      </c>
      <c r="B20" s="237"/>
      <c r="C20" s="196" t="s">
        <v>2</v>
      </c>
      <c r="D20" s="307" t="s">
        <v>157</v>
      </c>
      <c r="E20" s="214"/>
      <c r="F20" s="209">
        <f>Satser!I173</f>
        <v>0</v>
      </c>
      <c r="G20" s="126"/>
      <c r="H20" s="137" t="e">
        <f>SUM(H5:H19)</f>
        <v>#REF!</v>
      </c>
    </row>
    <row r="21" spans="1:8" ht="15.75" customHeight="1" x14ac:dyDescent="0.25">
      <c r="A21" s="199" t="s">
        <v>268</v>
      </c>
      <c r="B21" s="237"/>
      <c r="C21" s="196" t="s">
        <v>2</v>
      </c>
      <c r="D21" s="307" t="s">
        <v>222</v>
      </c>
      <c r="E21" s="214"/>
      <c r="F21" s="209">
        <f>$B$54*(-0.012)</f>
        <v>0</v>
      </c>
      <c r="G21" s="255"/>
      <c r="H21" s="256"/>
    </row>
    <row r="22" spans="1:8" ht="15.75" customHeight="1" x14ac:dyDescent="0.25">
      <c r="A22" s="199" t="s">
        <v>269</v>
      </c>
      <c r="B22" s="237"/>
      <c r="C22" s="196" t="s">
        <v>2</v>
      </c>
      <c r="D22" s="307" t="s">
        <v>229</v>
      </c>
      <c r="E22" s="214"/>
      <c r="F22" s="209">
        <v>0</v>
      </c>
      <c r="G22" s="255"/>
      <c r="H22" s="256"/>
    </row>
    <row r="23" spans="1:8" ht="15.75" customHeight="1" x14ac:dyDescent="0.25">
      <c r="A23" s="199" t="s">
        <v>167</v>
      </c>
      <c r="B23" s="237"/>
      <c r="C23" s="196" t="s">
        <v>2</v>
      </c>
      <c r="D23" s="307" t="s">
        <v>72</v>
      </c>
      <c r="E23" s="214"/>
      <c r="F23" s="209">
        <f>IF(B40=0,0,IF(B40&gt;4,8000,1600*B40))+IF(B41&gt;40,8000,IF(B41&lt;6,0,B41*200))</f>
        <v>0</v>
      </c>
      <c r="G23" s="255"/>
      <c r="H23" s="256"/>
    </row>
    <row r="24" spans="1:8" ht="15.75" customHeight="1" x14ac:dyDescent="0.25">
      <c r="A24" s="199" t="s">
        <v>80</v>
      </c>
      <c r="B24" s="237"/>
      <c r="C24" s="196" t="s">
        <v>2</v>
      </c>
      <c r="D24" s="309" t="s">
        <v>259</v>
      </c>
      <c r="E24" s="210"/>
      <c r="F24" s="209">
        <f>B47*42+B48*12</f>
        <v>0</v>
      </c>
      <c r="G24" s="139" t="s">
        <v>149</v>
      </c>
      <c r="H24" s="130" t="e">
        <f>0*'Ark18'!C20+0*#REF!-#REF!*63+#REF!*0</f>
        <v>#REF!</v>
      </c>
    </row>
    <row r="25" spans="1:8" ht="15.75" customHeight="1" x14ac:dyDescent="0.25">
      <c r="A25" s="199" t="s">
        <v>202</v>
      </c>
      <c r="B25" s="237"/>
      <c r="C25" s="196" t="s">
        <v>2</v>
      </c>
      <c r="D25" s="308" t="s">
        <v>133</v>
      </c>
      <c r="E25" s="218"/>
      <c r="F25" s="219">
        <f>SUM(F15:F24)</f>
        <v>0</v>
      </c>
      <c r="G25" s="139"/>
      <c r="H25" s="130"/>
    </row>
    <row r="26" spans="1:8" ht="15.75" customHeight="1" x14ac:dyDescent="0.25">
      <c r="A26" s="199" t="s">
        <v>61</v>
      </c>
      <c r="B26" s="237"/>
      <c r="C26" s="196" t="s">
        <v>2</v>
      </c>
      <c r="D26" s="310" t="s">
        <v>275</v>
      </c>
      <c r="E26" s="224"/>
      <c r="F26" s="225">
        <f>F25+F14</f>
        <v>0</v>
      </c>
      <c r="G26" s="138">
        <v>7</v>
      </c>
      <c r="H26" s="130" t="e">
        <f>('Ark18'!C8+'Ark18'!C9+(B32*0.6)+B33+#REF!+'Ark18'!C6+'Ark18'!C7)*G26</f>
        <v>#REF!</v>
      </c>
    </row>
    <row r="27" spans="1:8" ht="15.75" customHeight="1" x14ac:dyDescent="0.25">
      <c r="A27" s="199" t="s">
        <v>289</v>
      </c>
      <c r="B27" s="237"/>
      <c r="C27" s="196" t="s">
        <v>2</v>
      </c>
      <c r="D27" s="311" t="s">
        <v>203</v>
      </c>
      <c r="E27" s="186"/>
      <c r="F27" s="187"/>
      <c r="G27" s="138"/>
      <c r="H27" s="130"/>
    </row>
    <row r="28" spans="1:8" ht="15.75" customHeight="1" x14ac:dyDescent="0.25">
      <c r="A28" s="199" t="s">
        <v>290</v>
      </c>
      <c r="B28" s="237"/>
      <c r="C28" s="196" t="s">
        <v>2</v>
      </c>
      <c r="D28" s="312" t="s">
        <v>207</v>
      </c>
      <c r="E28" s="188"/>
      <c r="F28" s="189"/>
      <c r="G28" s="138"/>
      <c r="H28" s="130"/>
    </row>
    <row r="29" spans="1:8" ht="15.75" customHeight="1" x14ac:dyDescent="0.25">
      <c r="A29" s="199" t="s">
        <v>273</v>
      </c>
      <c r="B29" s="237"/>
      <c r="C29" s="196" t="s">
        <v>2</v>
      </c>
      <c r="D29" s="313" t="s">
        <v>219</v>
      </c>
      <c r="E29" s="215"/>
      <c r="F29" s="216"/>
      <c r="G29" s="138"/>
      <c r="H29" s="130"/>
    </row>
    <row r="30" spans="1:8" ht="15.75" customHeight="1" x14ac:dyDescent="0.25">
      <c r="A30" s="200" t="s">
        <v>281</v>
      </c>
      <c r="B30" s="236"/>
      <c r="C30" s="198" t="s">
        <v>54</v>
      </c>
      <c r="D30" s="307" t="s">
        <v>217</v>
      </c>
      <c r="E30" s="257" t="s">
        <v>291</v>
      </c>
      <c r="F30" s="258">
        <f>0.03*B57</f>
        <v>0</v>
      </c>
      <c r="G30" s="138"/>
      <c r="H30" s="130" t="e">
        <f>tilbud!E37</f>
        <v>#REF!</v>
      </c>
    </row>
    <row r="31" spans="1:8" ht="15.75" customHeight="1" x14ac:dyDescent="0.25">
      <c r="A31" s="202" t="s">
        <v>49</v>
      </c>
      <c r="B31" s="203"/>
      <c r="C31" s="319"/>
      <c r="D31" s="307" t="s">
        <v>234</v>
      </c>
      <c r="E31" s="234">
        <v>2.3E-2</v>
      </c>
      <c r="F31" s="226">
        <f>B58*0.023</f>
        <v>0</v>
      </c>
      <c r="G31" s="141" t="e">
        <f>IF(tilbud!C204&gt;0,"Toppavgrensing",IF(tilbud!C205&gt;0,"Toppavgrensing",IF(tilbud!C206&gt;0,"Toppavgr.før, ikke nå","")))</f>
        <v>#REF!</v>
      </c>
      <c r="H31" s="130" t="e">
        <f>IF(tilbud!$C$207=0,tilbud!$D$210,tilbud!$C$207)</f>
        <v>#REF!</v>
      </c>
    </row>
    <row r="32" spans="1:8" ht="19.5" customHeight="1" x14ac:dyDescent="0.25">
      <c r="A32" s="199" t="s">
        <v>70</v>
      </c>
      <c r="B32" s="238"/>
      <c r="C32" s="196" t="s">
        <v>3</v>
      </c>
      <c r="D32" s="307" t="s">
        <v>205</v>
      </c>
      <c r="E32" s="234">
        <v>-2E-3</v>
      </c>
      <c r="F32" s="226">
        <f>B56*-0.002</f>
        <v>0</v>
      </c>
      <c r="G32" s="144">
        <v>0.02</v>
      </c>
      <c r="H32" s="145">
        <f>G32*'Ark18'!C22</f>
        <v>0</v>
      </c>
    </row>
    <row r="33" spans="1:12" ht="18" customHeight="1" x14ac:dyDescent="0.25">
      <c r="A33" s="199" t="s">
        <v>71</v>
      </c>
      <c r="B33" s="238"/>
      <c r="C33" s="196" t="s">
        <v>3</v>
      </c>
      <c r="D33" s="308" t="s">
        <v>206</v>
      </c>
      <c r="E33" s="218"/>
      <c r="F33" s="222">
        <f>F31+F32+F30</f>
        <v>0</v>
      </c>
      <c r="G33" s="147"/>
      <c r="H33" s="146" t="e">
        <f>H113+H20-H32</f>
        <v>#REF!</v>
      </c>
    </row>
    <row r="34" spans="1:12" ht="18" customHeight="1" x14ac:dyDescent="0.25">
      <c r="A34" s="199" t="s">
        <v>48</v>
      </c>
      <c r="B34" s="238"/>
      <c r="C34" s="196" t="s">
        <v>3</v>
      </c>
      <c r="D34" s="314" t="s">
        <v>276</v>
      </c>
      <c r="E34" s="217"/>
      <c r="F34" s="223">
        <f>F26-F33</f>
        <v>0</v>
      </c>
      <c r="G34" s="261"/>
      <c r="H34" s="262"/>
    </row>
    <row r="35" spans="1:12" ht="18" customHeight="1" x14ac:dyDescent="0.25">
      <c r="A35" s="199" t="s">
        <v>50</v>
      </c>
      <c r="B35" s="238"/>
      <c r="C35" s="196" t="s">
        <v>3</v>
      </c>
      <c r="D35" s="315" t="s">
        <v>64</v>
      </c>
      <c r="E35" s="124"/>
      <c r="F35" s="173"/>
      <c r="G35" s="261"/>
      <c r="H35" s="262"/>
    </row>
    <row r="36" spans="1:12" ht="18" customHeight="1" x14ac:dyDescent="0.25">
      <c r="A36" s="199" t="s">
        <v>62</v>
      </c>
      <c r="B36" s="238"/>
      <c r="C36" s="196" t="s">
        <v>3</v>
      </c>
      <c r="D36" s="315" t="s">
        <v>218</v>
      </c>
      <c r="E36" s="148"/>
      <c r="F36" s="162"/>
      <c r="G36" s="261"/>
      <c r="H36" s="262"/>
    </row>
    <row r="37" spans="1:12" ht="18" customHeight="1" x14ac:dyDescent="0.25">
      <c r="A37" s="199" t="s">
        <v>240</v>
      </c>
      <c r="B37" s="238"/>
      <c r="C37" s="196" t="s">
        <v>3</v>
      </c>
      <c r="D37" s="315" t="s">
        <v>277</v>
      </c>
      <c r="E37" s="148"/>
      <c r="F37" s="162"/>
      <c r="G37" s="261"/>
      <c r="H37" s="262"/>
    </row>
    <row r="38" spans="1:12" ht="18" customHeight="1" x14ac:dyDescent="0.25">
      <c r="A38" s="199" t="s">
        <v>141</v>
      </c>
      <c r="B38" s="238"/>
      <c r="C38" s="196" t="s">
        <v>3</v>
      </c>
      <c r="D38" s="315" t="s">
        <v>284</v>
      </c>
      <c r="E38" s="148"/>
      <c r="F38" s="162"/>
      <c r="G38" s="261"/>
      <c r="H38" s="262"/>
    </row>
    <row r="39" spans="1:12" ht="18.75" customHeight="1" x14ac:dyDescent="0.25">
      <c r="A39" s="202" t="s">
        <v>68</v>
      </c>
      <c r="B39" s="204"/>
      <c r="C39" s="320"/>
      <c r="D39" s="124"/>
      <c r="E39" s="148"/>
      <c r="F39" s="162"/>
      <c r="G39" s="149"/>
      <c r="H39" s="150"/>
    </row>
    <row r="40" spans="1:12" ht="17.25" customHeight="1" x14ac:dyDescent="0.25">
      <c r="A40" s="199" t="s">
        <v>4</v>
      </c>
      <c r="B40" s="237"/>
      <c r="C40" s="196" t="s">
        <v>5</v>
      </c>
      <c r="D40" s="315"/>
      <c r="E40" s="148"/>
      <c r="F40" s="162"/>
      <c r="G40" s="124"/>
      <c r="H40" s="151"/>
      <c r="J40" s="121"/>
      <c r="K40" s="121"/>
      <c r="L40" s="121"/>
    </row>
    <row r="41" spans="1:12" ht="15.75" customHeight="1" thickBot="1" x14ac:dyDescent="0.3">
      <c r="A41" s="199" t="s">
        <v>188</v>
      </c>
      <c r="B41" s="237"/>
      <c r="C41" s="196" t="s">
        <v>5</v>
      </c>
      <c r="D41" s="316"/>
      <c r="E41" s="153"/>
      <c r="F41" s="254"/>
      <c r="G41" s="124"/>
      <c r="H41" s="151"/>
    </row>
    <row r="42" spans="1:12" ht="18" customHeight="1" x14ac:dyDescent="0.25">
      <c r="A42" s="199" t="s">
        <v>6</v>
      </c>
      <c r="B42" s="237"/>
      <c r="C42" s="196" t="s">
        <v>5</v>
      </c>
      <c r="G42" s="124"/>
      <c r="H42" s="151"/>
    </row>
    <row r="43" spans="1:12" ht="18" customHeight="1" x14ac:dyDescent="0.25">
      <c r="A43" s="199" t="s">
        <v>65</v>
      </c>
      <c r="B43" s="237"/>
      <c r="C43" s="196" t="s">
        <v>5</v>
      </c>
      <c r="G43" s="124"/>
      <c r="H43" s="151"/>
    </row>
    <row r="44" spans="1:12" ht="18" customHeight="1" x14ac:dyDescent="0.25">
      <c r="A44" s="199" t="s">
        <v>169</v>
      </c>
      <c r="B44" s="237"/>
      <c r="C44" s="196" t="s">
        <v>5</v>
      </c>
      <c r="G44" s="124"/>
      <c r="H44" s="151"/>
    </row>
    <row r="45" spans="1:12" ht="18" customHeight="1" x14ac:dyDescent="0.25">
      <c r="A45" s="199" t="s">
        <v>10</v>
      </c>
      <c r="B45" s="237"/>
      <c r="C45" s="196" t="s">
        <v>5</v>
      </c>
      <c r="G45" s="124"/>
      <c r="H45" s="151"/>
    </row>
    <row r="46" spans="1:12" ht="19.5" customHeight="1" x14ac:dyDescent="0.25">
      <c r="A46" s="199" t="s">
        <v>11</v>
      </c>
      <c r="B46" s="237"/>
      <c r="C46" s="196" t="s">
        <v>5</v>
      </c>
      <c r="G46" s="124"/>
      <c r="H46" s="151"/>
    </row>
    <row r="47" spans="1:12" ht="19.5" customHeight="1" x14ac:dyDescent="0.25">
      <c r="A47" s="199" t="s">
        <v>257</v>
      </c>
      <c r="B47" s="237"/>
      <c r="C47" s="196" t="s">
        <v>5</v>
      </c>
      <c r="G47" s="124"/>
      <c r="H47" s="151"/>
    </row>
    <row r="48" spans="1:12" ht="19.5" customHeight="1" x14ac:dyDescent="0.25">
      <c r="A48" s="200" t="s">
        <v>258</v>
      </c>
      <c r="B48" s="326"/>
      <c r="C48" s="198" t="s">
        <v>5</v>
      </c>
      <c r="G48" s="124"/>
      <c r="H48" s="151"/>
    </row>
    <row r="49" spans="1:8" ht="19.5" customHeight="1" x14ac:dyDescent="0.25">
      <c r="A49" s="194" t="s">
        <v>286</v>
      </c>
      <c r="B49" s="325"/>
      <c r="C49" s="196"/>
      <c r="G49" s="124"/>
      <c r="H49" s="151"/>
    </row>
    <row r="50" spans="1:8" ht="19.5" customHeight="1" x14ac:dyDescent="0.25">
      <c r="A50" s="199" t="s">
        <v>260</v>
      </c>
      <c r="B50" s="237"/>
      <c r="C50" s="196" t="s">
        <v>5</v>
      </c>
      <c r="G50" s="124"/>
      <c r="H50" s="151"/>
    </row>
    <row r="51" spans="1:8" ht="19.5" customHeight="1" x14ac:dyDescent="0.25">
      <c r="A51" s="199" t="s">
        <v>261</v>
      </c>
      <c r="B51" s="237"/>
      <c r="C51" s="196" t="s">
        <v>5</v>
      </c>
      <c r="G51" s="124"/>
      <c r="H51" s="151"/>
    </row>
    <row r="52" spans="1:8" ht="19.5" customHeight="1" x14ac:dyDescent="0.25">
      <c r="A52" s="199" t="s">
        <v>262</v>
      </c>
      <c r="B52" s="237"/>
      <c r="C52" s="196" t="s">
        <v>5</v>
      </c>
      <c r="G52" s="124"/>
      <c r="H52" s="151"/>
    </row>
    <row r="53" spans="1:8" ht="19.5" customHeight="1" x14ac:dyDescent="0.25">
      <c r="A53" s="199" t="s">
        <v>263</v>
      </c>
      <c r="B53" s="237"/>
      <c r="C53" s="196" t="s">
        <v>5</v>
      </c>
      <c r="G53" s="124"/>
      <c r="H53" s="151"/>
    </row>
    <row r="54" spans="1:8" ht="15.75" customHeight="1" x14ac:dyDescent="0.25">
      <c r="A54" s="327" t="s">
        <v>221</v>
      </c>
      <c r="B54" s="248"/>
      <c r="C54" s="321" t="s">
        <v>201</v>
      </c>
      <c r="G54" s="139"/>
      <c r="H54" s="130"/>
    </row>
    <row r="55" spans="1:8" ht="15.75" customHeight="1" x14ac:dyDescent="0.25">
      <c r="A55" s="241" t="s">
        <v>220</v>
      </c>
      <c r="B55" s="244"/>
      <c r="C55" s="245"/>
      <c r="G55" s="124"/>
      <c r="H55" s="151"/>
    </row>
    <row r="56" spans="1:8" ht="15.75" customHeight="1" x14ac:dyDescent="0.25">
      <c r="A56" s="242" t="s">
        <v>204</v>
      </c>
      <c r="B56" s="205"/>
      <c r="C56" s="245" t="s">
        <v>201</v>
      </c>
      <c r="G56" s="124"/>
      <c r="H56" s="151"/>
    </row>
    <row r="57" spans="1:8" ht="15.75" customHeight="1" x14ac:dyDescent="0.25">
      <c r="A57" s="242" t="s">
        <v>232</v>
      </c>
      <c r="B57" s="205"/>
      <c r="C57" s="245" t="s">
        <v>2</v>
      </c>
      <c r="G57" s="124"/>
      <c r="H57" s="151"/>
    </row>
    <row r="58" spans="1:8" ht="18.75" customHeight="1" thickBot="1" x14ac:dyDescent="0.3">
      <c r="A58" s="243" t="s">
        <v>233</v>
      </c>
      <c r="B58" s="240"/>
      <c r="C58" s="322" t="s">
        <v>201</v>
      </c>
      <c r="G58" s="124"/>
      <c r="H58" s="151"/>
    </row>
    <row r="59" spans="1:8" ht="15.75" customHeight="1" thickBot="1" x14ac:dyDescent="0.25">
      <c r="A59" s="246"/>
      <c r="B59" s="246"/>
      <c r="C59" s="246"/>
      <c r="G59" s="153"/>
      <c r="H59" s="154"/>
    </row>
    <row r="60" spans="1:8" ht="15.75" customHeight="1" x14ac:dyDescent="0.2">
      <c r="A60" s="246"/>
      <c r="B60" s="246"/>
      <c r="C60" s="246"/>
    </row>
    <row r="61" spans="1:8" x14ac:dyDescent="0.2">
      <c r="A61" s="246"/>
      <c r="B61" s="246"/>
      <c r="C61" s="246"/>
    </row>
    <row r="62" spans="1:8" x14ac:dyDescent="0.2">
      <c r="D62" s="164"/>
      <c r="E62" s="164"/>
      <c r="F62" s="164"/>
    </row>
    <row r="63" spans="1:8" x14ac:dyDescent="0.2">
      <c r="D63" s="164"/>
      <c r="E63" s="164"/>
      <c r="F63" s="164"/>
    </row>
    <row r="64" spans="1:8" x14ac:dyDescent="0.2">
      <c r="D64" s="164"/>
      <c r="E64" s="164"/>
      <c r="F64" s="164"/>
    </row>
    <row r="65" spans="4:6" x14ac:dyDescent="0.2">
      <c r="D65" s="164"/>
      <c r="E65" s="164"/>
      <c r="F65" s="164"/>
    </row>
    <row r="66" spans="4:6" x14ac:dyDescent="0.2">
      <c r="D66" s="164"/>
      <c r="E66" s="164"/>
      <c r="F66" s="164"/>
    </row>
    <row r="67" spans="4:6" x14ac:dyDescent="0.2">
      <c r="D67" s="164"/>
      <c r="E67" s="164"/>
      <c r="F67" s="164"/>
    </row>
    <row r="68" spans="4:6" x14ac:dyDescent="0.2">
      <c r="D68" s="164"/>
      <c r="E68" s="164"/>
      <c r="F68" s="164"/>
    </row>
    <row r="69" spans="4:6" x14ac:dyDescent="0.2">
      <c r="D69" s="164"/>
      <c r="E69" s="164"/>
      <c r="F69" s="164"/>
    </row>
    <row r="70" spans="4:6" x14ac:dyDescent="0.2">
      <c r="D70" s="164"/>
      <c r="E70" s="164"/>
      <c r="F70" s="164"/>
    </row>
    <row r="88" spans="6:6" s="174" customFormat="1" x14ac:dyDescent="0.2">
      <c r="F88" s="175"/>
    </row>
    <row r="92" spans="6:6" s="174" customFormat="1" x14ac:dyDescent="0.2">
      <c r="F92" s="175"/>
    </row>
    <row r="107" spans="4:8" x14ac:dyDescent="0.2">
      <c r="D107" s="178"/>
    </row>
    <row r="110" spans="4:8" ht="17.25" customHeight="1" x14ac:dyDescent="0.2">
      <c r="G110" s="149"/>
      <c r="H110" s="150"/>
    </row>
    <row r="111" spans="4:8" ht="17.25" customHeight="1" x14ac:dyDescent="0.2">
      <c r="G111" s="152"/>
      <c r="H111" s="150"/>
    </row>
    <row r="112" spans="4:8" ht="15.75" customHeight="1" x14ac:dyDescent="0.2">
      <c r="G112" s="139"/>
      <c r="H112" s="130">
        <v>500</v>
      </c>
    </row>
    <row r="113" spans="7:8" ht="15.75" customHeight="1" x14ac:dyDescent="0.2">
      <c r="G113" s="143"/>
      <c r="H113" s="142" t="e">
        <f>SUM(H24:H112)</f>
        <v>#REF!</v>
      </c>
    </row>
    <row r="114" spans="7:8" ht="17.25" customHeight="1" x14ac:dyDescent="0.2">
      <c r="G114" s="124"/>
      <c r="H114" s="151"/>
    </row>
    <row r="120" spans="7:8" ht="17.25" customHeight="1" x14ac:dyDescent="0.2">
      <c r="G120" s="124"/>
      <c r="H120" s="151"/>
    </row>
    <row r="121" spans="7:8" ht="15.75" customHeight="1" x14ac:dyDescent="0.2">
      <c r="G121" s="124"/>
      <c r="H121" s="151"/>
    </row>
    <row r="122" spans="7:8" ht="15.75" customHeight="1" x14ac:dyDescent="0.2">
      <c r="G122" s="124"/>
      <c r="H122" s="151"/>
    </row>
    <row r="123" spans="7:8" ht="15.75" customHeight="1" x14ac:dyDescent="0.2">
      <c r="G123" s="124"/>
      <c r="H123" s="151"/>
    </row>
    <row r="124" spans="7:8" ht="15.75" customHeight="1" x14ac:dyDescent="0.2">
      <c r="G124" s="139" t="s">
        <v>164</v>
      </c>
      <c r="H124" s="130" t="e">
        <f>#REF!*0+#REF!*0</f>
        <v>#REF!</v>
      </c>
    </row>
    <row r="125" spans="7:8" ht="15.75" customHeight="1" x14ac:dyDescent="0.2">
      <c r="G125" s="124"/>
      <c r="H125" s="151"/>
    </row>
    <row r="126" spans="7:8" ht="15.75" customHeight="1" x14ac:dyDescent="0.2">
      <c r="G126" s="124"/>
      <c r="H126" s="151"/>
    </row>
    <row r="127" spans="7:8" ht="12.75" customHeight="1" x14ac:dyDescent="0.2">
      <c r="G127" s="129">
        <v>0</v>
      </c>
      <c r="H127" s="130" t="e">
        <f>#REF!*G127</f>
        <v>#REF!</v>
      </c>
    </row>
    <row r="128" spans="7:8" ht="16.5" customHeight="1" x14ac:dyDescent="0.2">
      <c r="G128" s="129">
        <v>-0.8</v>
      </c>
      <c r="H128" s="130">
        <f>B18*G128</f>
        <v>0</v>
      </c>
    </row>
    <row r="129" spans="1:8" ht="12.75" customHeight="1" x14ac:dyDescent="0.2">
      <c r="G129" s="129">
        <v>3</v>
      </c>
      <c r="H129" s="130">
        <f>B19*G129</f>
        <v>0</v>
      </c>
    </row>
    <row r="133" spans="1:8" x14ac:dyDescent="0.2">
      <c r="A133" s="246"/>
      <c r="B133" s="246"/>
      <c r="C133" s="246"/>
    </row>
    <row r="134" spans="1:8" x14ac:dyDescent="0.2">
      <c r="A134" s="246"/>
      <c r="B134" s="246"/>
      <c r="C134" s="246"/>
    </row>
    <row r="135" spans="1:8" x14ac:dyDescent="0.2">
      <c r="A135" s="246"/>
      <c r="B135" s="246"/>
      <c r="C135" s="246"/>
    </row>
    <row r="136" spans="1:8" x14ac:dyDescent="0.2">
      <c r="A136" s="246"/>
      <c r="B136" s="246"/>
      <c r="C136" s="246"/>
    </row>
    <row r="137" spans="1:8" x14ac:dyDescent="0.2">
      <c r="A137" s="246"/>
      <c r="B137" s="246"/>
      <c r="C137" s="246"/>
    </row>
    <row r="138" spans="1:8" x14ac:dyDescent="0.2">
      <c r="A138" s="246"/>
      <c r="B138" s="246"/>
      <c r="C138" s="246"/>
    </row>
    <row r="139" spans="1:8" x14ac:dyDescent="0.2">
      <c r="A139" s="246"/>
      <c r="B139" s="246"/>
      <c r="C139" s="246"/>
    </row>
    <row r="140" spans="1:8" x14ac:dyDescent="0.2">
      <c r="A140" s="246"/>
      <c r="B140" s="246"/>
      <c r="C140" s="246"/>
    </row>
    <row r="141" spans="1:8" x14ac:dyDescent="0.2">
      <c r="A141" s="246"/>
      <c r="B141" s="246"/>
      <c r="C141" s="246"/>
    </row>
    <row r="142" spans="1:8" x14ac:dyDescent="0.2">
      <c r="A142" s="246"/>
      <c r="B142" s="246"/>
      <c r="C142" s="246"/>
    </row>
    <row r="143" spans="1:8" x14ac:dyDescent="0.2">
      <c r="A143" s="246"/>
      <c r="B143" s="246"/>
      <c r="C143" s="246"/>
    </row>
    <row r="144" spans="1:8" x14ac:dyDescent="0.2">
      <c r="A144" s="246"/>
      <c r="B144" s="246"/>
      <c r="C144" s="246"/>
    </row>
    <row r="145" spans="1:3" x14ac:dyDescent="0.2">
      <c r="A145" s="246"/>
      <c r="B145" s="246"/>
      <c r="C145" s="246"/>
    </row>
    <row r="146" spans="1:3" x14ac:dyDescent="0.2">
      <c r="A146" s="246"/>
      <c r="B146" s="246"/>
      <c r="C146" s="246"/>
    </row>
    <row r="147" spans="1:3" x14ac:dyDescent="0.2">
      <c r="A147" s="246"/>
      <c r="B147" s="246"/>
      <c r="C147" s="246"/>
    </row>
    <row r="148" spans="1:3" x14ac:dyDescent="0.2">
      <c r="A148" s="246"/>
      <c r="B148" s="246"/>
      <c r="C148" s="246"/>
    </row>
    <row r="149" spans="1:3" x14ac:dyDescent="0.2">
      <c r="A149" s="246"/>
      <c r="B149" s="246"/>
      <c r="C149" s="246"/>
    </row>
    <row r="150" spans="1:3" x14ac:dyDescent="0.2">
      <c r="A150" s="246"/>
      <c r="B150" s="246"/>
      <c r="C150" s="246"/>
    </row>
    <row r="151" spans="1:3" x14ac:dyDescent="0.2">
      <c r="A151" s="246"/>
      <c r="B151" s="246"/>
      <c r="C151" s="246"/>
    </row>
    <row r="152" spans="1:3" x14ac:dyDescent="0.2">
      <c r="A152" s="246"/>
      <c r="B152" s="246"/>
      <c r="C152" s="246"/>
    </row>
    <row r="153" spans="1:3" x14ac:dyDescent="0.2">
      <c r="A153" s="246"/>
      <c r="B153" s="246"/>
      <c r="C153" s="246"/>
    </row>
    <row r="154" spans="1:3" x14ac:dyDescent="0.2">
      <c r="A154" s="246"/>
      <c r="B154" s="246"/>
      <c r="C154" s="246"/>
    </row>
    <row r="155" spans="1:3" x14ac:dyDescent="0.2">
      <c r="A155" s="246"/>
      <c r="B155" s="246"/>
      <c r="C155" s="246"/>
    </row>
    <row r="156" spans="1:3" x14ac:dyDescent="0.2">
      <c r="A156" s="246"/>
      <c r="B156" s="246"/>
      <c r="C156" s="246"/>
    </row>
    <row r="157" spans="1:3" x14ac:dyDescent="0.2">
      <c r="A157" s="246"/>
      <c r="B157" s="246"/>
      <c r="C157" s="246"/>
    </row>
    <row r="158" spans="1:3" x14ac:dyDescent="0.2">
      <c r="A158" s="246"/>
      <c r="B158" s="246"/>
      <c r="C158" s="246"/>
    </row>
    <row r="159" spans="1:3" x14ac:dyDescent="0.2">
      <c r="A159" s="246"/>
      <c r="B159" s="246"/>
      <c r="C159" s="246"/>
    </row>
    <row r="160" spans="1:3" x14ac:dyDescent="0.2">
      <c r="A160" s="246"/>
      <c r="B160" s="246"/>
      <c r="C160" s="246"/>
    </row>
    <row r="161" spans="1:3" x14ac:dyDescent="0.2">
      <c r="A161" s="246"/>
      <c r="B161" s="246"/>
      <c r="C161" s="246"/>
    </row>
    <row r="162" spans="1:3" x14ac:dyDescent="0.2">
      <c r="A162" s="246"/>
      <c r="B162" s="246"/>
      <c r="C162" s="246"/>
    </row>
    <row r="163" spans="1:3" x14ac:dyDescent="0.2">
      <c r="A163" s="246"/>
      <c r="B163" s="246"/>
      <c r="C163" s="246"/>
    </row>
    <row r="164" spans="1:3" x14ac:dyDescent="0.2">
      <c r="A164" s="246"/>
      <c r="B164" s="246"/>
      <c r="C164" s="246"/>
    </row>
    <row r="165" spans="1:3" x14ac:dyDescent="0.2">
      <c r="A165" s="246"/>
      <c r="B165" s="246"/>
      <c r="C165" s="246"/>
    </row>
    <row r="166" spans="1:3" x14ac:dyDescent="0.2">
      <c r="A166" s="246"/>
      <c r="B166" s="246"/>
      <c r="C166" s="246"/>
    </row>
    <row r="167" spans="1:3" x14ac:dyDescent="0.2">
      <c r="A167" s="246"/>
      <c r="B167" s="246"/>
      <c r="C167" s="246"/>
    </row>
    <row r="168" spans="1:3" x14ac:dyDescent="0.2">
      <c r="A168" s="246"/>
      <c r="B168" s="246"/>
      <c r="C168" s="246"/>
    </row>
    <row r="169" spans="1:3" x14ac:dyDescent="0.2">
      <c r="A169" s="246"/>
      <c r="B169" s="246"/>
      <c r="C169" s="246"/>
    </row>
    <row r="170" spans="1:3" x14ac:dyDescent="0.2">
      <c r="A170" s="246"/>
      <c r="B170" s="246"/>
      <c r="C170" s="246"/>
    </row>
    <row r="171" spans="1:3" x14ac:dyDescent="0.2">
      <c r="A171" s="246"/>
      <c r="B171" s="246"/>
      <c r="C171" s="246"/>
    </row>
    <row r="172" spans="1:3" x14ac:dyDescent="0.2">
      <c r="A172" s="246"/>
      <c r="B172" s="246"/>
      <c r="C172" s="246"/>
    </row>
    <row r="173" spans="1:3" x14ac:dyDescent="0.2">
      <c r="A173" s="246"/>
      <c r="B173" s="246"/>
      <c r="C173" s="246"/>
    </row>
    <row r="174" spans="1:3" x14ac:dyDescent="0.2">
      <c r="A174" s="246"/>
      <c r="B174" s="246"/>
      <c r="C174" s="246"/>
    </row>
    <row r="175" spans="1:3" x14ac:dyDescent="0.2">
      <c r="A175" s="246"/>
      <c r="B175" s="246"/>
      <c r="C175" s="246"/>
    </row>
    <row r="176" spans="1:3" x14ac:dyDescent="0.2">
      <c r="A176" s="246"/>
      <c r="B176" s="246"/>
      <c r="C176" s="246"/>
    </row>
    <row r="177" spans="1:3" x14ac:dyDescent="0.2">
      <c r="A177" s="246"/>
      <c r="B177" s="246"/>
      <c r="C177" s="246"/>
    </row>
    <row r="178" spans="1:3" x14ac:dyDescent="0.2">
      <c r="A178" s="246"/>
      <c r="B178" s="246"/>
      <c r="C178" s="246"/>
    </row>
    <row r="179" spans="1:3" x14ac:dyDescent="0.2">
      <c r="A179" s="246"/>
      <c r="B179" s="246"/>
      <c r="C179" s="246"/>
    </row>
    <row r="180" spans="1:3" x14ac:dyDescent="0.2">
      <c r="A180" s="246"/>
      <c r="B180" s="246"/>
      <c r="C180" s="246"/>
    </row>
    <row r="181" spans="1:3" x14ac:dyDescent="0.2">
      <c r="A181" s="246"/>
      <c r="B181" s="246"/>
      <c r="C181" s="246"/>
    </row>
    <row r="182" spans="1:3" x14ac:dyDescent="0.2">
      <c r="A182" s="246"/>
      <c r="B182" s="246"/>
      <c r="C182" s="246"/>
    </row>
    <row r="183" spans="1:3" x14ac:dyDescent="0.2">
      <c r="A183" s="246"/>
      <c r="B183" s="246"/>
      <c r="C183" s="246"/>
    </row>
    <row r="184" spans="1:3" x14ac:dyDescent="0.2">
      <c r="A184" s="246"/>
      <c r="B184" s="246"/>
      <c r="C184" s="246"/>
    </row>
    <row r="185" spans="1:3" x14ac:dyDescent="0.2">
      <c r="A185" s="246"/>
      <c r="B185" s="246"/>
      <c r="C185" s="246"/>
    </row>
    <row r="186" spans="1:3" x14ac:dyDescent="0.2">
      <c r="A186" s="246"/>
      <c r="B186" s="246"/>
      <c r="C186" s="246"/>
    </row>
    <row r="187" spans="1:3" x14ac:dyDescent="0.2">
      <c r="A187" s="246"/>
      <c r="B187" s="246"/>
      <c r="C187" s="246"/>
    </row>
    <row r="188" spans="1:3" x14ac:dyDescent="0.2">
      <c r="A188" s="246"/>
      <c r="B188" s="246"/>
      <c r="C188" s="246"/>
    </row>
    <row r="189" spans="1:3" x14ac:dyDescent="0.2">
      <c r="A189" s="246"/>
      <c r="B189" s="246"/>
      <c r="C189" s="246"/>
    </row>
    <row r="190" spans="1:3" x14ac:dyDescent="0.2">
      <c r="A190" s="246"/>
      <c r="B190" s="246"/>
      <c r="C190" s="246"/>
    </row>
    <row r="191" spans="1:3" x14ac:dyDescent="0.2">
      <c r="A191" s="246"/>
      <c r="B191" s="246"/>
      <c r="C191" s="246"/>
    </row>
    <row r="192" spans="1:3" x14ac:dyDescent="0.2">
      <c r="A192" s="246"/>
      <c r="B192" s="246"/>
      <c r="C192" s="246"/>
    </row>
    <row r="193" spans="1:3" x14ac:dyDescent="0.2">
      <c r="A193" s="246"/>
      <c r="B193" s="246"/>
      <c r="C193" s="246"/>
    </row>
    <row r="194" spans="1:3" x14ac:dyDescent="0.2">
      <c r="A194" s="246"/>
      <c r="B194" s="246"/>
      <c r="C194" s="246"/>
    </row>
    <row r="195" spans="1:3" x14ac:dyDescent="0.2">
      <c r="A195" s="246"/>
      <c r="B195" s="246"/>
      <c r="C195" s="246"/>
    </row>
    <row r="196" spans="1:3" x14ac:dyDescent="0.2">
      <c r="A196" s="246"/>
      <c r="B196" s="246"/>
      <c r="C196" s="246"/>
    </row>
    <row r="197" spans="1:3" x14ac:dyDescent="0.2">
      <c r="A197" s="246"/>
      <c r="B197" s="246"/>
      <c r="C197" s="246"/>
    </row>
    <row r="198" spans="1:3" x14ac:dyDescent="0.2">
      <c r="A198" s="246"/>
      <c r="B198" s="246"/>
      <c r="C198" s="246"/>
    </row>
    <row r="199" spans="1:3" x14ac:dyDescent="0.2">
      <c r="A199" s="246"/>
      <c r="B199" s="246"/>
      <c r="C199" s="246"/>
    </row>
    <row r="200" spans="1:3" x14ac:dyDescent="0.2">
      <c r="A200" s="246"/>
      <c r="B200" s="246"/>
      <c r="C200" s="246"/>
    </row>
    <row r="201" spans="1:3" x14ac:dyDescent="0.2">
      <c r="A201" s="246"/>
      <c r="B201" s="246"/>
      <c r="C201" s="246"/>
    </row>
    <row r="202" spans="1:3" x14ac:dyDescent="0.2">
      <c r="A202" s="246"/>
      <c r="B202" s="246"/>
      <c r="C202" s="246"/>
    </row>
    <row r="203" spans="1:3" x14ac:dyDescent="0.2">
      <c r="A203" s="246"/>
      <c r="B203" s="246"/>
      <c r="C203" s="246"/>
    </row>
    <row r="204" spans="1:3" x14ac:dyDescent="0.2">
      <c r="A204" s="246"/>
      <c r="B204" s="246"/>
      <c r="C204" s="246"/>
    </row>
    <row r="205" spans="1:3" x14ac:dyDescent="0.2">
      <c r="A205" s="246"/>
      <c r="B205" s="246"/>
      <c r="C205" s="246"/>
    </row>
    <row r="206" spans="1:3" x14ac:dyDescent="0.2">
      <c r="A206" s="246"/>
      <c r="B206" s="246"/>
      <c r="C206" s="246"/>
    </row>
    <row r="207" spans="1:3" x14ac:dyDescent="0.2">
      <c r="A207" s="246"/>
      <c r="B207" s="246"/>
      <c r="C207" s="246"/>
    </row>
    <row r="208" spans="1:3" x14ac:dyDescent="0.2">
      <c r="A208" s="246"/>
      <c r="B208" s="246"/>
      <c r="C208" s="246"/>
    </row>
    <row r="209" spans="1:3" x14ac:dyDescent="0.2">
      <c r="A209" s="246"/>
      <c r="B209" s="246"/>
      <c r="C209" s="246"/>
    </row>
    <row r="210" spans="1:3" x14ac:dyDescent="0.2">
      <c r="A210" s="246"/>
      <c r="B210" s="246"/>
      <c r="C210" s="246"/>
    </row>
    <row r="211" spans="1:3" x14ac:dyDescent="0.2">
      <c r="A211" s="246"/>
      <c r="B211" s="246"/>
      <c r="C211" s="246"/>
    </row>
    <row r="212" spans="1:3" x14ac:dyDescent="0.2">
      <c r="A212" s="246"/>
      <c r="B212" s="246"/>
      <c r="C212" s="246"/>
    </row>
    <row r="213" spans="1:3" x14ac:dyDescent="0.2">
      <c r="A213" s="246"/>
      <c r="B213" s="246"/>
      <c r="C213" s="246"/>
    </row>
    <row r="214" spans="1:3" x14ac:dyDescent="0.2">
      <c r="A214" s="246"/>
      <c r="B214" s="246"/>
      <c r="C214" s="246"/>
    </row>
    <row r="215" spans="1:3" x14ac:dyDescent="0.2">
      <c r="A215" s="246"/>
      <c r="B215" s="246"/>
      <c r="C215" s="246"/>
    </row>
    <row r="216" spans="1:3" x14ac:dyDescent="0.2">
      <c r="A216" s="246"/>
      <c r="B216" s="246"/>
      <c r="C216" s="246"/>
    </row>
    <row r="217" spans="1:3" x14ac:dyDescent="0.2">
      <c r="A217" s="246"/>
      <c r="B217" s="246"/>
      <c r="C217" s="246"/>
    </row>
    <row r="218" spans="1:3" x14ac:dyDescent="0.2">
      <c r="A218" s="246"/>
      <c r="B218" s="246"/>
      <c r="C218" s="246"/>
    </row>
    <row r="219" spans="1:3" x14ac:dyDescent="0.2">
      <c r="A219" s="246"/>
      <c r="B219" s="246"/>
      <c r="C219" s="246"/>
    </row>
    <row r="220" spans="1:3" x14ac:dyDescent="0.2">
      <c r="A220" s="246"/>
      <c r="B220" s="246"/>
      <c r="C220" s="246"/>
    </row>
    <row r="221" spans="1:3" x14ac:dyDescent="0.2">
      <c r="A221" s="246"/>
      <c r="B221" s="246"/>
      <c r="C221" s="246"/>
    </row>
    <row r="222" spans="1:3" x14ac:dyDescent="0.2">
      <c r="A222" s="246"/>
      <c r="B222" s="246"/>
      <c r="C222" s="246"/>
    </row>
    <row r="223" spans="1:3" x14ac:dyDescent="0.2">
      <c r="A223" s="246"/>
      <c r="B223" s="246"/>
      <c r="C223" s="246"/>
    </row>
    <row r="224" spans="1:3" x14ac:dyDescent="0.2">
      <c r="A224" s="246"/>
      <c r="B224" s="246"/>
      <c r="C224" s="246"/>
    </row>
    <row r="225" spans="1:3" x14ac:dyDescent="0.2">
      <c r="A225" s="246"/>
      <c r="B225" s="246"/>
      <c r="C225" s="246"/>
    </row>
    <row r="226" spans="1:3" x14ac:dyDescent="0.2">
      <c r="A226" s="246"/>
      <c r="B226" s="246"/>
      <c r="C226" s="246"/>
    </row>
    <row r="227" spans="1:3" x14ac:dyDescent="0.2">
      <c r="A227" s="246"/>
      <c r="B227" s="246"/>
      <c r="C227" s="246"/>
    </row>
    <row r="228" spans="1:3" x14ac:dyDescent="0.2">
      <c r="A228" s="246"/>
      <c r="B228" s="246"/>
      <c r="C228" s="246"/>
    </row>
    <row r="229" spans="1:3" x14ac:dyDescent="0.2">
      <c r="A229" s="246"/>
      <c r="B229" s="246"/>
      <c r="C229" s="246"/>
    </row>
    <row r="230" spans="1:3" x14ac:dyDescent="0.2">
      <c r="A230" s="246"/>
      <c r="B230" s="246"/>
      <c r="C230" s="246"/>
    </row>
    <row r="231" spans="1:3" x14ac:dyDescent="0.2">
      <c r="A231" s="246"/>
      <c r="B231" s="246"/>
      <c r="C231" s="246"/>
    </row>
    <row r="232" spans="1:3" x14ac:dyDescent="0.2">
      <c r="A232" s="246"/>
      <c r="B232" s="246"/>
      <c r="C232" s="246"/>
    </row>
    <row r="233" spans="1:3" x14ac:dyDescent="0.2">
      <c r="A233" s="246"/>
      <c r="B233" s="246"/>
      <c r="C233" s="246"/>
    </row>
    <row r="234" spans="1:3" x14ac:dyDescent="0.2">
      <c r="A234" s="246"/>
      <c r="B234" s="246"/>
      <c r="C234" s="246"/>
    </row>
    <row r="235" spans="1:3" x14ac:dyDescent="0.2">
      <c r="A235" s="246"/>
      <c r="B235" s="246"/>
      <c r="C235" s="246"/>
    </row>
    <row r="236" spans="1:3" x14ac:dyDescent="0.2">
      <c r="A236" s="246"/>
      <c r="B236" s="246"/>
      <c r="C236" s="246"/>
    </row>
    <row r="237" spans="1:3" x14ac:dyDescent="0.2">
      <c r="A237" s="246"/>
      <c r="B237" s="246"/>
      <c r="C237" s="246"/>
    </row>
    <row r="238" spans="1:3" x14ac:dyDescent="0.2">
      <c r="A238" s="246"/>
      <c r="B238" s="246"/>
      <c r="C238" s="246"/>
    </row>
    <row r="239" spans="1:3" x14ac:dyDescent="0.2">
      <c r="A239" s="246"/>
      <c r="B239" s="246"/>
      <c r="C239" s="246"/>
    </row>
    <row r="240" spans="1:3" x14ac:dyDescent="0.2">
      <c r="A240" s="246"/>
      <c r="B240" s="246"/>
      <c r="C240" s="246"/>
    </row>
    <row r="241" spans="1:3" x14ac:dyDescent="0.2">
      <c r="A241" s="246"/>
      <c r="B241" s="246"/>
      <c r="C241" s="246"/>
    </row>
    <row r="242" spans="1:3" x14ac:dyDescent="0.2">
      <c r="A242" s="246"/>
      <c r="B242" s="246"/>
      <c r="C242" s="246"/>
    </row>
    <row r="243" spans="1:3" x14ac:dyDescent="0.2">
      <c r="A243" s="246"/>
      <c r="B243" s="246"/>
      <c r="C243" s="246"/>
    </row>
    <row r="244" spans="1:3" x14ac:dyDescent="0.2">
      <c r="A244" s="246"/>
      <c r="B244" s="246"/>
      <c r="C244" s="246"/>
    </row>
    <row r="245" spans="1:3" x14ac:dyDescent="0.2">
      <c r="A245" s="246"/>
      <c r="B245" s="246"/>
      <c r="C245" s="246"/>
    </row>
    <row r="246" spans="1:3" x14ac:dyDescent="0.2">
      <c r="A246" s="246"/>
      <c r="B246" s="246"/>
      <c r="C246" s="246"/>
    </row>
    <row r="247" spans="1:3" x14ac:dyDescent="0.2">
      <c r="A247" s="246"/>
      <c r="B247" s="246"/>
      <c r="C247" s="246"/>
    </row>
    <row r="248" spans="1:3" x14ac:dyDescent="0.2">
      <c r="A248" s="246"/>
      <c r="B248" s="246"/>
      <c r="C248" s="246"/>
    </row>
    <row r="249" spans="1:3" x14ac:dyDescent="0.2">
      <c r="A249" s="246"/>
      <c r="B249" s="246"/>
      <c r="C249" s="246"/>
    </row>
    <row r="250" spans="1:3" x14ac:dyDescent="0.2">
      <c r="A250" s="246"/>
      <c r="B250" s="246"/>
      <c r="C250" s="246"/>
    </row>
    <row r="251" spans="1:3" x14ac:dyDescent="0.2">
      <c r="A251" s="246"/>
      <c r="B251" s="246"/>
      <c r="C251" s="246"/>
    </row>
    <row r="252" spans="1:3" x14ac:dyDescent="0.2">
      <c r="A252" s="246"/>
      <c r="B252" s="246"/>
      <c r="C252" s="246"/>
    </row>
    <row r="253" spans="1:3" x14ac:dyDescent="0.2">
      <c r="A253" s="246"/>
      <c r="B253" s="246"/>
      <c r="C253" s="246"/>
    </row>
    <row r="254" spans="1:3" x14ac:dyDescent="0.2">
      <c r="A254" s="246"/>
      <c r="B254" s="246"/>
      <c r="C254" s="246"/>
    </row>
    <row r="255" spans="1:3" x14ac:dyDescent="0.2">
      <c r="A255" s="246"/>
      <c r="B255" s="246"/>
      <c r="C255" s="246"/>
    </row>
    <row r="256" spans="1:3" x14ac:dyDescent="0.2">
      <c r="A256" s="246"/>
      <c r="B256" s="246"/>
      <c r="C256" s="246"/>
    </row>
    <row r="257" spans="1:3" x14ac:dyDescent="0.2">
      <c r="A257" s="246"/>
      <c r="B257" s="246"/>
      <c r="C257" s="246"/>
    </row>
    <row r="258" spans="1:3" x14ac:dyDescent="0.2">
      <c r="A258" s="246"/>
      <c r="B258" s="246"/>
      <c r="C258" s="246"/>
    </row>
    <row r="259" spans="1:3" x14ac:dyDescent="0.2">
      <c r="A259" s="246"/>
      <c r="B259" s="246"/>
      <c r="C259" s="246"/>
    </row>
    <row r="260" spans="1:3" x14ac:dyDescent="0.2">
      <c r="A260" s="246"/>
      <c r="B260" s="246"/>
      <c r="C260" s="246"/>
    </row>
    <row r="261" spans="1:3" x14ac:dyDescent="0.2">
      <c r="A261" s="246"/>
      <c r="B261" s="246"/>
      <c r="C261" s="246"/>
    </row>
    <row r="262" spans="1:3" x14ac:dyDescent="0.2">
      <c r="A262" s="246"/>
      <c r="B262" s="246"/>
      <c r="C262" s="246"/>
    </row>
    <row r="263" spans="1:3" x14ac:dyDescent="0.2">
      <c r="A263" s="246"/>
      <c r="B263" s="246"/>
      <c r="C263" s="246"/>
    </row>
    <row r="264" spans="1:3" x14ac:dyDescent="0.2">
      <c r="A264" s="246"/>
      <c r="B264" s="246"/>
      <c r="C264" s="246"/>
    </row>
    <row r="265" spans="1:3" x14ac:dyDescent="0.2">
      <c r="A265" s="246"/>
      <c r="B265" s="246"/>
      <c r="C265" s="246"/>
    </row>
    <row r="266" spans="1:3" x14ac:dyDescent="0.2">
      <c r="A266" s="246"/>
      <c r="B266" s="246"/>
      <c r="C266" s="246"/>
    </row>
    <row r="267" spans="1:3" x14ac:dyDescent="0.2">
      <c r="A267" s="246"/>
      <c r="B267" s="246"/>
      <c r="C267" s="246"/>
    </row>
    <row r="268" spans="1:3" x14ac:dyDescent="0.2">
      <c r="A268" s="246"/>
      <c r="B268" s="246"/>
      <c r="C268" s="246"/>
    </row>
    <row r="269" spans="1:3" x14ac:dyDescent="0.2">
      <c r="A269" s="246"/>
      <c r="B269" s="246"/>
      <c r="C269" s="246"/>
    </row>
    <row r="270" spans="1:3" x14ac:dyDescent="0.2">
      <c r="A270" s="246"/>
      <c r="B270" s="246"/>
      <c r="C270" s="246"/>
    </row>
    <row r="271" spans="1:3" x14ac:dyDescent="0.2">
      <c r="A271" s="246"/>
      <c r="B271" s="246"/>
      <c r="C271" s="246"/>
    </row>
    <row r="272" spans="1:3" x14ac:dyDescent="0.2">
      <c r="A272" s="246"/>
      <c r="B272" s="246"/>
      <c r="C272" s="246"/>
    </row>
    <row r="273" spans="1:3" x14ac:dyDescent="0.2">
      <c r="A273" s="246"/>
      <c r="B273" s="246"/>
      <c r="C273" s="246"/>
    </row>
    <row r="274" spans="1:3" x14ac:dyDescent="0.2">
      <c r="A274" s="246"/>
      <c r="B274" s="246"/>
      <c r="C274" s="246"/>
    </row>
    <row r="275" spans="1:3" x14ac:dyDescent="0.2">
      <c r="A275" s="246"/>
      <c r="B275" s="246"/>
      <c r="C275" s="246"/>
    </row>
    <row r="276" spans="1:3" x14ac:dyDescent="0.2">
      <c r="A276" s="246"/>
      <c r="B276" s="246"/>
      <c r="C276" s="246"/>
    </row>
    <row r="277" spans="1:3" x14ac:dyDescent="0.2">
      <c r="A277" s="246"/>
      <c r="B277" s="246"/>
      <c r="C277" s="246"/>
    </row>
    <row r="278" spans="1:3" x14ac:dyDescent="0.2">
      <c r="A278" s="246"/>
      <c r="B278" s="246"/>
      <c r="C278" s="246"/>
    </row>
    <row r="279" spans="1:3" x14ac:dyDescent="0.2">
      <c r="A279" s="246"/>
      <c r="B279" s="246"/>
      <c r="C279" s="246"/>
    </row>
    <row r="280" spans="1:3" x14ac:dyDescent="0.2">
      <c r="A280" s="246"/>
      <c r="B280" s="246"/>
      <c r="C280" s="246"/>
    </row>
    <row r="281" spans="1:3" x14ac:dyDescent="0.2">
      <c r="A281" s="246"/>
      <c r="B281" s="246"/>
      <c r="C281" s="246"/>
    </row>
    <row r="282" spans="1:3" x14ac:dyDescent="0.2">
      <c r="A282" s="246"/>
      <c r="B282" s="246"/>
      <c r="C282" s="246"/>
    </row>
    <row r="283" spans="1:3" x14ac:dyDescent="0.2">
      <c r="A283" s="246"/>
      <c r="B283" s="246"/>
      <c r="C283" s="246"/>
    </row>
    <row r="284" spans="1:3" x14ac:dyDescent="0.2">
      <c r="A284" s="246"/>
      <c r="B284" s="246"/>
      <c r="C284" s="246"/>
    </row>
    <row r="285" spans="1:3" x14ac:dyDescent="0.2">
      <c r="A285" s="246"/>
      <c r="B285" s="246"/>
      <c r="C285" s="246"/>
    </row>
    <row r="286" spans="1:3" x14ac:dyDescent="0.2">
      <c r="A286" s="246"/>
      <c r="B286" s="246"/>
      <c r="C286" s="246"/>
    </row>
    <row r="287" spans="1:3" x14ac:dyDescent="0.2">
      <c r="A287" s="246"/>
      <c r="B287" s="246"/>
      <c r="C287" s="246"/>
    </row>
    <row r="288" spans="1:3" x14ac:dyDescent="0.2">
      <c r="A288" s="246"/>
      <c r="B288" s="246"/>
      <c r="C288" s="246"/>
    </row>
    <row r="289" spans="1:3" x14ac:dyDescent="0.2">
      <c r="A289" s="246"/>
      <c r="B289" s="246"/>
      <c r="C289" s="246"/>
    </row>
    <row r="290" spans="1:3" x14ac:dyDescent="0.2">
      <c r="A290" s="246"/>
      <c r="B290" s="246"/>
      <c r="C290" s="246"/>
    </row>
    <row r="291" spans="1:3" x14ac:dyDescent="0.2">
      <c r="A291" s="246"/>
      <c r="B291" s="246"/>
      <c r="C291" s="246"/>
    </row>
    <row r="292" spans="1:3" x14ac:dyDescent="0.2">
      <c r="A292" s="246"/>
      <c r="B292" s="246"/>
      <c r="C292" s="246"/>
    </row>
    <row r="293" spans="1:3" x14ac:dyDescent="0.2">
      <c r="A293" s="246"/>
      <c r="B293" s="246"/>
      <c r="C293" s="246"/>
    </row>
    <row r="294" spans="1:3" x14ac:dyDescent="0.2">
      <c r="A294" s="246"/>
      <c r="B294" s="246"/>
      <c r="C294" s="246"/>
    </row>
    <row r="295" spans="1:3" x14ac:dyDescent="0.2">
      <c r="A295" s="246"/>
      <c r="B295" s="246"/>
      <c r="C295" s="246"/>
    </row>
    <row r="296" spans="1:3" x14ac:dyDescent="0.2">
      <c r="A296" s="246"/>
      <c r="B296" s="246"/>
      <c r="C296" s="246"/>
    </row>
    <row r="297" spans="1:3" x14ac:dyDescent="0.2">
      <c r="A297" s="246"/>
      <c r="B297" s="246"/>
      <c r="C297" s="246"/>
    </row>
    <row r="298" spans="1:3" x14ac:dyDescent="0.2">
      <c r="A298" s="246"/>
      <c r="B298" s="246"/>
      <c r="C298" s="246"/>
    </row>
    <row r="299" spans="1:3" x14ac:dyDescent="0.2">
      <c r="A299" s="246"/>
      <c r="B299" s="246"/>
      <c r="C299" s="246"/>
    </row>
    <row r="300" spans="1:3" x14ac:dyDescent="0.2">
      <c r="A300" s="246"/>
      <c r="B300" s="246"/>
      <c r="C300" s="246"/>
    </row>
    <row r="301" spans="1:3" x14ac:dyDescent="0.2">
      <c r="A301" s="246"/>
      <c r="B301" s="246"/>
      <c r="C301" s="246"/>
    </row>
    <row r="302" spans="1:3" x14ac:dyDescent="0.2">
      <c r="A302" s="246"/>
      <c r="B302" s="246"/>
      <c r="C302" s="246"/>
    </row>
    <row r="303" spans="1:3" x14ac:dyDescent="0.2">
      <c r="A303" s="246"/>
      <c r="B303" s="246"/>
      <c r="C303" s="246"/>
    </row>
    <row r="304" spans="1:3" x14ac:dyDescent="0.2">
      <c r="A304" s="246"/>
      <c r="B304" s="246"/>
      <c r="C304" s="246"/>
    </row>
    <row r="305" spans="1:3" x14ac:dyDescent="0.2">
      <c r="A305" s="246"/>
      <c r="B305" s="246"/>
      <c r="C305" s="246"/>
    </row>
    <row r="306" spans="1:3" x14ac:dyDescent="0.2">
      <c r="A306" s="246"/>
      <c r="B306" s="246"/>
      <c r="C306" s="246"/>
    </row>
    <row r="307" spans="1:3" x14ac:dyDescent="0.2">
      <c r="A307" s="246"/>
      <c r="B307" s="246"/>
      <c r="C307" s="246"/>
    </row>
    <row r="308" spans="1:3" x14ac:dyDescent="0.2">
      <c r="A308" s="246"/>
      <c r="B308" s="246"/>
      <c r="C308" s="246"/>
    </row>
    <row r="309" spans="1:3" x14ac:dyDescent="0.2">
      <c r="A309" s="246"/>
      <c r="B309" s="246"/>
      <c r="C309" s="246"/>
    </row>
    <row r="310" spans="1:3" x14ac:dyDescent="0.2">
      <c r="A310" s="246"/>
      <c r="B310" s="246"/>
      <c r="C310" s="246"/>
    </row>
    <row r="311" spans="1:3" x14ac:dyDescent="0.2">
      <c r="A311" s="246"/>
      <c r="B311" s="246"/>
      <c r="C311" s="246"/>
    </row>
    <row r="312" spans="1:3" x14ac:dyDescent="0.2">
      <c r="A312" s="246"/>
      <c r="B312" s="246"/>
      <c r="C312" s="246"/>
    </row>
    <row r="313" spans="1:3" x14ac:dyDescent="0.2">
      <c r="A313" s="246"/>
      <c r="B313" s="246"/>
      <c r="C313" s="246"/>
    </row>
    <row r="314" spans="1:3" x14ac:dyDescent="0.2">
      <c r="A314" s="246"/>
      <c r="B314" s="246"/>
      <c r="C314" s="246"/>
    </row>
    <row r="315" spans="1:3" x14ac:dyDescent="0.2">
      <c r="A315" s="246"/>
      <c r="B315" s="246"/>
      <c r="C315" s="246"/>
    </row>
    <row r="316" spans="1:3" x14ac:dyDescent="0.2">
      <c r="A316" s="246"/>
      <c r="B316" s="246"/>
      <c r="C316" s="246"/>
    </row>
    <row r="317" spans="1:3" x14ac:dyDescent="0.2">
      <c r="A317" s="246"/>
      <c r="B317" s="246"/>
      <c r="C317" s="246"/>
    </row>
    <row r="318" spans="1:3" x14ac:dyDescent="0.2">
      <c r="A318" s="246"/>
      <c r="B318" s="246"/>
      <c r="C318" s="246"/>
    </row>
    <row r="319" spans="1:3" x14ac:dyDescent="0.2">
      <c r="A319" s="246"/>
      <c r="B319" s="246"/>
      <c r="C319" s="246"/>
    </row>
    <row r="320" spans="1:3" x14ac:dyDescent="0.2">
      <c r="A320" s="246"/>
      <c r="B320" s="246"/>
      <c r="C320" s="246"/>
    </row>
    <row r="321" spans="1:3" x14ac:dyDescent="0.2">
      <c r="A321" s="246"/>
      <c r="B321" s="246"/>
      <c r="C321" s="246"/>
    </row>
    <row r="322" spans="1:3" x14ac:dyDescent="0.2">
      <c r="A322" s="246"/>
      <c r="B322" s="246"/>
      <c r="C322" s="246"/>
    </row>
    <row r="323" spans="1:3" x14ac:dyDescent="0.2">
      <c r="A323" s="246"/>
      <c r="B323" s="246"/>
      <c r="C323" s="246"/>
    </row>
    <row r="324" spans="1:3" x14ac:dyDescent="0.2">
      <c r="A324" s="246"/>
      <c r="B324" s="246"/>
      <c r="C324" s="246"/>
    </row>
    <row r="325" spans="1:3" x14ac:dyDescent="0.2">
      <c r="A325" s="122"/>
      <c r="B325" s="122"/>
      <c r="C325" s="122"/>
    </row>
    <row r="326" spans="1:3" x14ac:dyDescent="0.2">
      <c r="A326" s="122"/>
      <c r="B326" s="122"/>
      <c r="C326" s="122"/>
    </row>
    <row r="327" spans="1:3" x14ac:dyDescent="0.2">
      <c r="A327" s="122"/>
      <c r="B327" s="122"/>
      <c r="C327" s="122"/>
    </row>
    <row r="328" spans="1:3" x14ac:dyDescent="0.2">
      <c r="A328" s="122"/>
      <c r="B328" s="122"/>
      <c r="C328" s="122"/>
    </row>
    <row r="329" spans="1:3" x14ac:dyDescent="0.2">
      <c r="A329" s="122"/>
      <c r="B329" s="122"/>
      <c r="C329" s="122"/>
    </row>
    <row r="330" spans="1:3" x14ac:dyDescent="0.2">
      <c r="A330" s="122"/>
      <c r="B330" s="122"/>
      <c r="C330" s="122"/>
    </row>
    <row r="331" spans="1:3" x14ac:dyDescent="0.2">
      <c r="A331" s="122"/>
      <c r="B331" s="122"/>
      <c r="C331" s="122"/>
    </row>
    <row r="332" spans="1:3" x14ac:dyDescent="0.2">
      <c r="A332" s="122"/>
      <c r="B332" s="122"/>
      <c r="C332" s="122"/>
    </row>
    <row r="333" spans="1:3" x14ac:dyDescent="0.2">
      <c r="A333" s="122"/>
      <c r="B333" s="122"/>
      <c r="C333" s="122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  <row r="646" spans="1:3" x14ac:dyDescent="0.2">
      <c r="A646" s="122"/>
      <c r="B646" s="122"/>
      <c r="C646" s="122"/>
    </row>
    <row r="647" spans="1:3" x14ac:dyDescent="0.2">
      <c r="A647" s="122"/>
      <c r="B647" s="122"/>
      <c r="C647" s="122"/>
    </row>
    <row r="648" spans="1:3" x14ac:dyDescent="0.2">
      <c r="A648" s="122"/>
      <c r="B648" s="122"/>
      <c r="C648" s="122"/>
    </row>
    <row r="649" spans="1:3" x14ac:dyDescent="0.2">
      <c r="A649" s="122"/>
      <c r="B649" s="122"/>
      <c r="C649" s="122"/>
    </row>
    <row r="650" spans="1:3" x14ac:dyDescent="0.2">
      <c r="A650" s="122"/>
      <c r="B650" s="122"/>
      <c r="C650" s="122"/>
    </row>
    <row r="651" spans="1:3" x14ac:dyDescent="0.2">
      <c r="A651" s="122"/>
      <c r="B651" s="122"/>
      <c r="C651" s="122"/>
    </row>
    <row r="652" spans="1:3" x14ac:dyDescent="0.2">
      <c r="A652" s="122"/>
      <c r="B652" s="122"/>
      <c r="C652" s="122"/>
    </row>
    <row r="653" spans="1:3" x14ac:dyDescent="0.2">
      <c r="A653" s="122"/>
      <c r="B653" s="122"/>
      <c r="C653" s="122"/>
    </row>
    <row r="654" spans="1:3" x14ac:dyDescent="0.2">
      <c r="A654" s="122"/>
      <c r="B654" s="122"/>
      <c r="C654" s="122"/>
    </row>
    <row r="655" spans="1:3" x14ac:dyDescent="0.2">
      <c r="A655" s="122"/>
      <c r="B655" s="122"/>
      <c r="C655" s="122"/>
    </row>
    <row r="656" spans="1:3" x14ac:dyDescent="0.2">
      <c r="A656" s="122"/>
      <c r="B656" s="122"/>
      <c r="C656" s="122"/>
    </row>
    <row r="657" spans="1:3" x14ac:dyDescent="0.2">
      <c r="A657" s="122"/>
      <c r="B657" s="122"/>
      <c r="C657" s="122"/>
    </row>
    <row r="658" spans="1:3" x14ac:dyDescent="0.2">
      <c r="A658" s="122"/>
      <c r="B658" s="122"/>
      <c r="C658" s="122"/>
    </row>
    <row r="659" spans="1:3" x14ac:dyDescent="0.2">
      <c r="A659" s="122"/>
      <c r="B659" s="122"/>
      <c r="C659" s="122"/>
    </row>
    <row r="660" spans="1:3" x14ac:dyDescent="0.2">
      <c r="A660" s="122"/>
      <c r="B660" s="122"/>
      <c r="C660" s="122"/>
    </row>
  </sheetData>
  <sheetProtection algorithmName="SHA-512" hashValue="aKQ1v6CCyGPxe6AbrnKCzXQEj/hWiGTn//FfEIlE84g+Wa5R5aYeGU97//Jsefwv5uFJBcKPgijbrQspyr/FFg==" saltValue="eGoh63a9UzjrhryDQcNqLA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6:B11">
      <formula1>"Ja,Nei"</formula1>
    </dataValidation>
    <dataValidation type="list" allowBlank="1" showInputMessage="1" showErrorMessage="1" sqref="B4">
      <formula1>"1,2,3,4,5,6,7"</formula1>
    </dataValidation>
  </dataValidations>
  <pageMargins left="0.5" right="0.3" top="0.7" bottom="0.7" header="0.5" footer="0.5"/>
  <pageSetup paperSize="9" scale="59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AH261"/>
  <sheetViews>
    <sheetView topLeftCell="A35" workbookViewId="0">
      <selection activeCell="D27" sqref="D27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1" width="25.7109375" customWidth="1"/>
    <col min="12" max="12" width="9.140625" customWidth="1"/>
    <col min="13" max="13" width="1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</row>
    <row r="2" spans="1:15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68"/>
      <c r="K2" s="24" t="s">
        <v>47</v>
      </c>
      <c r="L2" s="23">
        <f>Utslag!B33</f>
        <v>0</v>
      </c>
      <c r="M2" s="25" t="s">
        <v>3</v>
      </c>
    </row>
    <row r="3" spans="1:15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24" t="s">
        <v>52</v>
      </c>
      <c r="L3" s="23">
        <f>Utslag!B32</f>
        <v>0</v>
      </c>
      <c r="M3" s="25" t="s">
        <v>3</v>
      </c>
    </row>
    <row r="4" spans="1:15" x14ac:dyDescent="0.2">
      <c r="A4" s="73" t="s">
        <v>47</v>
      </c>
      <c r="B4" s="207" t="s">
        <v>239</v>
      </c>
      <c r="C4" s="34">
        <v>-35</v>
      </c>
      <c r="D4" s="34">
        <v>0</v>
      </c>
      <c r="E4" s="34">
        <v>-5</v>
      </c>
      <c r="F4" s="34">
        <v>-5</v>
      </c>
      <c r="G4" s="171">
        <v>0</v>
      </c>
      <c r="H4" s="171">
        <v>0</v>
      </c>
      <c r="I4" s="172">
        <v>0</v>
      </c>
      <c r="K4" s="1"/>
      <c r="L4" s="1"/>
    </row>
    <row r="5" spans="1:15" x14ac:dyDescent="0.2">
      <c r="A5" s="73" t="s">
        <v>50</v>
      </c>
      <c r="B5" s="207" t="s">
        <v>239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98">
        <v>0</v>
      </c>
      <c r="K5" s="268" t="s">
        <v>223</v>
      </c>
      <c r="L5" s="269">
        <f>L3*0.6-L3*0.6</f>
        <v>0</v>
      </c>
    </row>
    <row r="6" spans="1:15" x14ac:dyDescent="0.2">
      <c r="A6" s="73" t="s">
        <v>48</v>
      </c>
      <c r="B6" s="207" t="s">
        <v>239</v>
      </c>
      <c r="C6" s="34">
        <v>13</v>
      </c>
      <c r="D6" s="34">
        <v>13</v>
      </c>
      <c r="E6" s="34">
        <v>13</v>
      </c>
      <c r="F6" s="34">
        <v>13</v>
      </c>
      <c r="G6" s="34">
        <v>0</v>
      </c>
      <c r="H6" s="34">
        <v>0</v>
      </c>
      <c r="I6" s="34">
        <v>0</v>
      </c>
      <c r="K6" s="268" t="s">
        <v>227</v>
      </c>
      <c r="L6" s="270">
        <f>HLOOKUP(Utslag!B4,I12:O16,4)</f>
        <v>185</v>
      </c>
    </row>
    <row r="7" spans="1:15" x14ac:dyDescent="0.2">
      <c r="A7" s="73" t="s">
        <v>62</v>
      </c>
      <c r="B7" s="207" t="s">
        <v>239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97">
        <v>0</v>
      </c>
      <c r="K7" s="268" t="s">
        <v>226</v>
      </c>
      <c r="L7" s="270">
        <f>L5*L6</f>
        <v>0</v>
      </c>
    </row>
    <row r="8" spans="1:15" x14ac:dyDescent="0.2">
      <c r="A8" s="73" t="s">
        <v>143</v>
      </c>
      <c r="B8" s="207" t="s">
        <v>239</v>
      </c>
      <c r="C8" s="34"/>
      <c r="D8" s="34"/>
      <c r="E8" s="34"/>
      <c r="F8" s="34"/>
      <c r="G8" s="34"/>
      <c r="H8" s="34"/>
      <c r="I8" s="97">
        <v>0</v>
      </c>
    </row>
    <row r="9" spans="1:15" x14ac:dyDescent="0.2">
      <c r="A9" s="74" t="s">
        <v>141</v>
      </c>
      <c r="B9" s="260" t="s">
        <v>239</v>
      </c>
      <c r="C9" s="36"/>
      <c r="D9" s="36"/>
      <c r="E9" s="36"/>
      <c r="F9" s="36"/>
      <c r="G9" s="36"/>
      <c r="H9" s="36"/>
      <c r="I9" s="99">
        <v>0</v>
      </c>
    </row>
    <row r="10" spans="1:15" x14ac:dyDescent="0.2">
      <c r="A10" s="264" t="s">
        <v>78</v>
      </c>
      <c r="B10" s="265"/>
      <c r="C10" s="56">
        <v>-13</v>
      </c>
      <c r="D10" s="266">
        <f>$C$10</f>
        <v>-13</v>
      </c>
      <c r="E10" s="266">
        <f t="shared" ref="E10:H10" si="0">$C$10</f>
        <v>-13</v>
      </c>
      <c r="F10" s="266">
        <f t="shared" si="0"/>
        <v>-13</v>
      </c>
      <c r="G10" s="266">
        <f t="shared" si="0"/>
        <v>-13</v>
      </c>
      <c r="H10" s="266">
        <f t="shared" si="0"/>
        <v>-13</v>
      </c>
      <c r="I10" s="266">
        <f>$C$10</f>
        <v>-13</v>
      </c>
    </row>
    <row r="11" spans="1:15" x14ac:dyDescent="0.2">
      <c r="A11" s="1"/>
      <c r="B11" s="2"/>
      <c r="C11" s="1"/>
      <c r="D11" s="1"/>
      <c r="E11" s="1"/>
      <c r="F11" s="1"/>
      <c r="G11" s="1"/>
      <c r="H11" s="1"/>
      <c r="I11" s="1"/>
    </row>
    <row r="12" spans="1:15" x14ac:dyDescent="0.2">
      <c r="A12" s="66"/>
      <c r="B12" s="41" t="s">
        <v>142</v>
      </c>
      <c r="C12" s="42"/>
      <c r="D12" s="42"/>
      <c r="E12" s="68"/>
      <c r="F12" s="5"/>
      <c r="G12" s="5"/>
      <c r="H12" s="270"/>
      <c r="I12" s="271">
        <v>1</v>
      </c>
      <c r="J12" s="271">
        <v>2</v>
      </c>
      <c r="K12" s="271">
        <v>3</v>
      </c>
      <c r="L12" s="271">
        <v>4</v>
      </c>
      <c r="M12" s="271">
        <v>5</v>
      </c>
      <c r="N12" s="271">
        <v>6</v>
      </c>
      <c r="O12" s="272">
        <v>7</v>
      </c>
    </row>
    <row r="13" spans="1:15" x14ac:dyDescent="0.2">
      <c r="A13" s="231" t="s">
        <v>78</v>
      </c>
      <c r="B13" s="228" t="s">
        <v>239</v>
      </c>
      <c r="C13" s="42">
        <f>SUM(Utslag!$B$33:$B$38)+(Utslag!$B$32*0.6)</f>
        <v>0</v>
      </c>
      <c r="D13" s="304">
        <f>C10</f>
        <v>-13</v>
      </c>
      <c r="E13" s="267">
        <f>C13*D13</f>
        <v>0</v>
      </c>
      <c r="F13" s="5"/>
      <c r="G13" s="5"/>
      <c r="H13" s="270"/>
      <c r="I13" s="273"/>
      <c r="J13" s="273"/>
      <c r="K13" s="273"/>
      <c r="L13" s="273"/>
      <c r="M13" s="273"/>
      <c r="N13" s="273"/>
      <c r="O13" s="273"/>
    </row>
    <row r="14" spans="1:15" x14ac:dyDescent="0.2">
      <c r="A14" s="73" t="s">
        <v>47</v>
      </c>
      <c r="B14" s="228" t="s">
        <v>239</v>
      </c>
      <c r="C14" s="44">
        <f>L2+(L3*0.6)</f>
        <v>0</v>
      </c>
      <c r="D14" s="44">
        <f>HLOOKUP(Utslag!B4,AKkorn2,2)</f>
        <v>-35</v>
      </c>
      <c r="E14" s="80">
        <f>C14*D14</f>
        <v>0</v>
      </c>
      <c r="F14" s="37"/>
      <c r="G14" s="5"/>
      <c r="H14" s="268" t="s">
        <v>224</v>
      </c>
      <c r="I14" s="274">
        <v>75</v>
      </c>
      <c r="J14" s="274">
        <v>0</v>
      </c>
      <c r="K14" s="274">
        <v>110</v>
      </c>
      <c r="L14" s="274">
        <v>110</v>
      </c>
      <c r="M14" s="274">
        <v>210</v>
      </c>
      <c r="N14" s="274">
        <v>240</v>
      </c>
      <c r="O14" s="274">
        <v>286</v>
      </c>
    </row>
    <row r="15" spans="1:15" x14ac:dyDescent="0.2">
      <c r="A15" s="73" t="s">
        <v>50</v>
      </c>
      <c r="B15" s="228" t="s">
        <v>239</v>
      </c>
      <c r="C15" s="229">
        <f>Utslag!$B$35</f>
        <v>0</v>
      </c>
      <c r="D15" s="44">
        <f>HLOOKUP(Utslag!B4,AKkorn2,3)</f>
        <v>0</v>
      </c>
      <c r="E15" s="80">
        <f t="shared" ref="E15:E18" si="1">C15*D15</f>
        <v>0</v>
      </c>
      <c r="F15" s="37"/>
      <c r="G15" s="5"/>
      <c r="H15" s="268" t="s">
        <v>225</v>
      </c>
      <c r="I15" s="274">
        <v>185</v>
      </c>
      <c r="J15" s="274">
        <v>185</v>
      </c>
      <c r="K15" s="274">
        <v>185</v>
      </c>
      <c r="L15" s="274">
        <v>185</v>
      </c>
      <c r="M15" s="274">
        <v>185</v>
      </c>
      <c r="N15" s="274">
        <v>185</v>
      </c>
      <c r="O15" s="274">
        <v>185</v>
      </c>
    </row>
    <row r="16" spans="1:15" x14ac:dyDescent="0.2">
      <c r="A16" s="73" t="s">
        <v>48</v>
      </c>
      <c r="B16" s="228" t="s">
        <v>239</v>
      </c>
      <c r="C16" s="263">
        <f>Utslag!$B$34</f>
        <v>0</v>
      </c>
      <c r="D16" s="44">
        <f>HLOOKUP(Utslag!B4,AKkorn2,4)</f>
        <v>13</v>
      </c>
      <c r="E16" s="80">
        <f t="shared" si="1"/>
        <v>0</v>
      </c>
      <c r="F16" s="37"/>
      <c r="G16" s="5"/>
      <c r="H16" s="268" t="s">
        <v>156</v>
      </c>
      <c r="I16" s="270">
        <f>I14+I15</f>
        <v>260</v>
      </c>
      <c r="J16" s="270">
        <f t="shared" ref="J16:O16" si="2">J14+J15</f>
        <v>185</v>
      </c>
      <c r="K16" s="270">
        <f t="shared" si="2"/>
        <v>295</v>
      </c>
      <c r="L16" s="270">
        <f t="shared" si="2"/>
        <v>295</v>
      </c>
      <c r="M16" s="270">
        <f t="shared" si="2"/>
        <v>395</v>
      </c>
      <c r="N16" s="270">
        <f t="shared" si="2"/>
        <v>425</v>
      </c>
      <c r="O16" s="270">
        <f t="shared" si="2"/>
        <v>471</v>
      </c>
    </row>
    <row r="17" spans="1:16" x14ac:dyDescent="0.2">
      <c r="A17" s="73" t="s">
        <v>62</v>
      </c>
      <c r="B17" s="228" t="s">
        <v>239</v>
      </c>
      <c r="C17" s="263">
        <f>Utslag!$B$36</f>
        <v>0</v>
      </c>
      <c r="D17" s="44">
        <f>HLOOKUP(Utslag!B4,AKkorn2,5)</f>
        <v>0</v>
      </c>
      <c r="E17" s="80">
        <f>C17*D17</f>
        <v>0</v>
      </c>
      <c r="F17" s="39"/>
      <c r="G17" s="5"/>
    </row>
    <row r="18" spans="1:16" x14ac:dyDescent="0.2">
      <c r="A18" s="73" t="s">
        <v>143</v>
      </c>
      <c r="B18" s="228" t="s">
        <v>239</v>
      </c>
      <c r="C18" s="263">
        <f>Utslag!$B$37</f>
        <v>0</v>
      </c>
      <c r="D18" s="44">
        <f>HLOOKUP(Utslag!B4,AKkorn2,6)</f>
        <v>0</v>
      </c>
      <c r="E18" s="80">
        <f t="shared" si="1"/>
        <v>0</v>
      </c>
      <c r="F18" s="39"/>
      <c r="G18" s="5"/>
      <c r="H18" s="1"/>
    </row>
    <row r="19" spans="1:16" x14ac:dyDescent="0.2">
      <c r="A19" s="73" t="s">
        <v>141</v>
      </c>
      <c r="B19" s="228" t="s">
        <v>239</v>
      </c>
      <c r="C19" s="263">
        <f>Utslag!$B$38</f>
        <v>0</v>
      </c>
      <c r="D19" s="44">
        <f>HLOOKUP(Utslag!B4,AKkorn2,7)</f>
        <v>0</v>
      </c>
      <c r="E19" s="80">
        <f>C19*D19</f>
        <v>0</v>
      </c>
      <c r="F19" s="17"/>
      <c r="G19" s="5"/>
    </row>
    <row r="20" spans="1:16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5"/>
    </row>
    <row r="21" spans="1:16" x14ac:dyDescent="0.2">
      <c r="B21" s="5"/>
      <c r="C21" s="5"/>
      <c r="D21" s="5"/>
      <c r="E21" s="5"/>
      <c r="F21" s="3"/>
      <c r="G21" s="5"/>
      <c r="H21" s="21"/>
    </row>
    <row r="22" spans="1:16" x14ac:dyDescent="0.2">
      <c r="A22" s="1"/>
      <c r="B22" s="66"/>
      <c r="C22" s="42"/>
      <c r="D22" s="42"/>
      <c r="E22" s="67"/>
      <c r="F22" s="70"/>
      <c r="G22" s="1"/>
      <c r="H22" s="17"/>
    </row>
    <row r="23" spans="1:16" x14ac:dyDescent="0.2">
      <c r="K23" t="s">
        <v>272</v>
      </c>
    </row>
    <row r="24" spans="1:16" x14ac:dyDescent="0.2">
      <c r="B24" s="78" t="s">
        <v>26</v>
      </c>
      <c r="C24" s="50"/>
      <c r="D24" s="50"/>
      <c r="E24" s="50"/>
      <c r="F24" s="50"/>
      <c r="G24" s="87"/>
      <c r="K24" t="s">
        <v>18</v>
      </c>
      <c r="L24">
        <v>1</v>
      </c>
      <c r="M24">
        <v>2</v>
      </c>
      <c r="N24">
        <v>3</v>
      </c>
      <c r="O24">
        <v>4</v>
      </c>
      <c r="P24">
        <v>5</v>
      </c>
    </row>
    <row r="25" spans="1:16" x14ac:dyDescent="0.2">
      <c r="B25" s="71" t="s">
        <v>4</v>
      </c>
      <c r="C25" s="8" t="s">
        <v>27</v>
      </c>
      <c r="D25" s="8" t="s">
        <v>28</v>
      </c>
      <c r="E25" s="4" t="s">
        <v>29</v>
      </c>
      <c r="F25" s="4" t="s">
        <v>30</v>
      </c>
      <c r="G25" s="72" t="s">
        <v>31</v>
      </c>
      <c r="I25" s="159" t="s">
        <v>189</v>
      </c>
      <c r="K25" s="286" t="s">
        <v>143</v>
      </c>
      <c r="L25">
        <v>0</v>
      </c>
      <c r="M25">
        <v>0.1</v>
      </c>
      <c r="N25">
        <v>0.1</v>
      </c>
      <c r="O25">
        <v>0.1</v>
      </c>
      <c r="P25">
        <v>0.25</v>
      </c>
    </row>
    <row r="26" spans="1:16" x14ac:dyDescent="0.2">
      <c r="B26" s="66" t="s">
        <v>39</v>
      </c>
      <c r="C26" s="48">
        <v>3948</v>
      </c>
      <c r="D26" s="49">
        <v>4189</v>
      </c>
      <c r="E26" s="259">
        <f>IF(Utslag!B40&lt;17,Utslag!B40,16)</f>
        <v>0</v>
      </c>
      <c r="F26" s="50">
        <f>C26*E26</f>
        <v>0</v>
      </c>
      <c r="G26" s="87">
        <f>D26*E26</f>
        <v>0</v>
      </c>
      <c r="I26">
        <f>IF('Ark18'!C10&gt;0,IF('Ark18'!C10+'Ark18'!C11&lt;17,'Ark18'!C10+'Ark18'!C11,16),0)</f>
        <v>0</v>
      </c>
      <c r="K26" t="s">
        <v>141</v>
      </c>
      <c r="L26">
        <v>0</v>
      </c>
      <c r="M26">
        <v>0</v>
      </c>
      <c r="N26">
        <v>0</v>
      </c>
      <c r="O26">
        <v>0.25</v>
      </c>
      <c r="P26">
        <v>0.25</v>
      </c>
    </row>
    <row r="27" spans="1:16" x14ac:dyDescent="0.2">
      <c r="B27" s="73" t="s">
        <v>24</v>
      </c>
      <c r="C27" s="51">
        <v>2032</v>
      </c>
      <c r="D27" s="52">
        <v>2032</v>
      </c>
      <c r="E27" s="5">
        <f>IF(Utslag!$B$40&lt;17,0,IF(Utslag!$B$40&lt;26,Utslag!$B$40-16,9))</f>
        <v>0</v>
      </c>
      <c r="F27" s="50">
        <f>C27*E27</f>
        <v>0</v>
      </c>
      <c r="G27" s="87">
        <f>D27*E27</f>
        <v>0</v>
      </c>
      <c r="I27">
        <f>IF('Ark18'!C10&gt;0,IF('Ark18'!C10+'Ark18'!C11&lt;17,0,IF('Ark18'!C10+'Ark18'!C11&lt;26,'Ark18'!C10+'Ark18'!C11-16,9)),0)</f>
        <v>0</v>
      </c>
    </row>
    <row r="28" spans="1:16" x14ac:dyDescent="0.2">
      <c r="B28" s="73" t="s">
        <v>40</v>
      </c>
      <c r="C28" s="51">
        <v>980</v>
      </c>
      <c r="D28" s="52">
        <v>980</v>
      </c>
      <c r="E28" s="5">
        <f>IF(Utslag!B40&lt;26,0,IF(Utslag!B40&lt;51,Utslag!B40-25,25))</f>
        <v>0</v>
      </c>
      <c r="F28" s="17">
        <f>C28*E28</f>
        <v>0</v>
      </c>
      <c r="G28" s="88">
        <f>D28*E28</f>
        <v>0</v>
      </c>
    </row>
    <row r="29" spans="1:16" x14ac:dyDescent="0.2">
      <c r="B29" s="277" t="s">
        <v>213</v>
      </c>
      <c r="C29" s="275">
        <v>784</v>
      </c>
      <c r="D29" s="276">
        <v>784</v>
      </c>
      <c r="E29" s="3">
        <f>IF(Utslag!B40&lt;51,0,Utslag!B40-50)</f>
        <v>0</v>
      </c>
      <c r="F29" s="9">
        <f>C29*E29</f>
        <v>0</v>
      </c>
      <c r="G29" s="75">
        <f>D29*E29</f>
        <v>0</v>
      </c>
      <c r="I29">
        <f>IF('Ark18'!C10&gt;0,IF('Ark18'!C10+'Ark18'!C11&lt;26,0,IF('Ark18'!C10+'Ark18'!C11&lt;51,'Ark18'!C10+'Ark18'!C11-25,25)),0)</f>
        <v>0</v>
      </c>
    </row>
    <row r="30" spans="1:16" x14ac:dyDescent="0.2">
      <c r="B30" s="76"/>
      <c r="C30" s="51"/>
      <c r="D30" s="52"/>
      <c r="E30" s="17"/>
      <c r="F30" s="17"/>
      <c r="G30" s="88"/>
    </row>
    <row r="31" spans="1:16" x14ac:dyDescent="0.2">
      <c r="B31" s="78" t="s">
        <v>6</v>
      </c>
      <c r="C31" s="48"/>
      <c r="D31" s="49"/>
      <c r="E31" s="50"/>
      <c r="F31" s="50"/>
      <c r="G31" s="87"/>
      <c r="K31" t="s">
        <v>143</v>
      </c>
      <c r="L31" s="285">
        <f>Utslag!B27</f>
        <v>0</v>
      </c>
      <c r="M31">
        <f>HLOOKUP(Utslag!$B$4,$K$24:$P$26,2)</f>
        <v>0</v>
      </c>
      <c r="N31">
        <f>L31*M31</f>
        <v>0</v>
      </c>
    </row>
    <row r="32" spans="1:16" x14ac:dyDescent="0.2">
      <c r="B32" s="73"/>
      <c r="C32" s="51">
        <v>784</v>
      </c>
      <c r="D32" s="52">
        <v>784</v>
      </c>
      <c r="E32" s="278">
        <f>Utslag!B42</f>
        <v>0</v>
      </c>
      <c r="F32" s="17">
        <f>C32*E32</f>
        <v>0</v>
      </c>
      <c r="G32" s="88">
        <f>D32*E32</f>
        <v>0</v>
      </c>
      <c r="K32" t="s">
        <v>141</v>
      </c>
      <c r="L32" s="285">
        <f>Utslag!B29</f>
        <v>0</v>
      </c>
      <c r="M32">
        <f>HLOOKUP(Utslag!$B$4,$K$24:$P$26,2)</f>
        <v>0</v>
      </c>
      <c r="N32">
        <f>L32*M32</f>
        <v>0</v>
      </c>
    </row>
    <row r="33" spans="2:14" x14ac:dyDescent="0.2">
      <c r="B33" s="73"/>
      <c r="C33" s="51"/>
      <c r="D33" s="52"/>
      <c r="E33" s="17"/>
      <c r="F33" s="17"/>
      <c r="G33" s="88"/>
      <c r="N33">
        <f>N31+N32</f>
        <v>0</v>
      </c>
    </row>
    <row r="34" spans="2:14" x14ac:dyDescent="0.2">
      <c r="B34" s="78" t="s">
        <v>7</v>
      </c>
      <c r="C34" s="48"/>
      <c r="D34" s="49"/>
      <c r="E34" s="50"/>
      <c r="F34" s="50"/>
      <c r="G34" s="87"/>
    </row>
    <row r="35" spans="2:14" x14ac:dyDescent="0.2">
      <c r="B35" s="73" t="s">
        <v>41</v>
      </c>
      <c r="C35" s="51">
        <v>1470</v>
      </c>
      <c r="D35" s="52">
        <v>1470</v>
      </c>
      <c r="E35" s="5">
        <f>IF(Utslag!B43&lt;125,Utslag!B43,125)</f>
        <v>0</v>
      </c>
      <c r="F35" s="17">
        <f>C35*E35</f>
        <v>0</v>
      </c>
      <c r="G35" s="88">
        <f>D35*E35</f>
        <v>0</v>
      </c>
    </row>
    <row r="36" spans="2:14" x14ac:dyDescent="0.2">
      <c r="B36" s="232" t="s">
        <v>214</v>
      </c>
      <c r="C36" s="53">
        <v>540</v>
      </c>
      <c r="D36" s="30">
        <v>540</v>
      </c>
      <c r="E36" s="3">
        <f>IF(Utslag!B43&gt;250,125,IF(Utslag!B43&gt;125,Utslag!B43-125,0))</f>
        <v>0</v>
      </c>
      <c r="F36" s="9">
        <f>C36*E36</f>
        <v>0</v>
      </c>
      <c r="G36" s="75">
        <f>D36*E36</f>
        <v>0</v>
      </c>
    </row>
    <row r="37" spans="2:14" x14ac:dyDescent="0.2">
      <c r="B37" s="231"/>
      <c r="C37" s="51"/>
      <c r="D37" s="52"/>
      <c r="E37" s="5"/>
      <c r="F37" s="17"/>
      <c r="G37" s="88"/>
    </row>
    <row r="38" spans="2:14" x14ac:dyDescent="0.2">
      <c r="B38" s="78" t="s">
        <v>146</v>
      </c>
      <c r="C38" s="43"/>
      <c r="D38" s="49"/>
      <c r="E38" s="50"/>
      <c r="F38" s="50"/>
      <c r="G38" s="87"/>
    </row>
    <row r="39" spans="2:14" x14ac:dyDescent="0.2">
      <c r="B39" s="231" t="s">
        <v>241</v>
      </c>
      <c r="C39" s="15">
        <v>1009</v>
      </c>
      <c r="D39" s="52">
        <v>1049</v>
      </c>
      <c r="E39" s="5">
        <f>IF(Utslag!B44&lt;100,Utslag!B44,100)</f>
        <v>0</v>
      </c>
      <c r="F39" s="17">
        <f t="shared" ref="F39:F40" si="3">C39*E39</f>
        <v>0</v>
      </c>
      <c r="G39" s="88">
        <f t="shared" ref="G39:G40" si="4">D39*E39</f>
        <v>0</v>
      </c>
    </row>
    <row r="40" spans="2:14" x14ac:dyDescent="0.2">
      <c r="B40" s="231" t="s">
        <v>242</v>
      </c>
      <c r="C40" s="15">
        <v>245</v>
      </c>
      <c r="D40" s="52">
        <v>245</v>
      </c>
      <c r="E40" s="5">
        <f>IF(Utslag!B44&lt;100,0,Utslag!B44-100)</f>
        <v>0</v>
      </c>
      <c r="F40" s="17">
        <f t="shared" si="3"/>
        <v>0</v>
      </c>
      <c r="G40" s="88">
        <f t="shared" si="4"/>
        <v>0</v>
      </c>
    </row>
    <row r="41" spans="2:14" x14ac:dyDescent="0.2">
      <c r="B41" s="78" t="s">
        <v>188</v>
      </c>
      <c r="C41" s="43"/>
      <c r="D41" s="49"/>
      <c r="E41" s="50"/>
      <c r="F41" s="50"/>
      <c r="G41" s="87"/>
      <c r="I41" t="s">
        <v>189</v>
      </c>
    </row>
    <row r="42" spans="2:14" x14ac:dyDescent="0.2">
      <c r="B42" s="279" t="s">
        <v>244</v>
      </c>
      <c r="C42" s="15">
        <v>3900</v>
      </c>
      <c r="D42" s="54">
        <v>3900</v>
      </c>
      <c r="E42" s="5">
        <f>IF(Utslag!B41&lt;50,Utslag!B41,50)</f>
        <v>0</v>
      </c>
      <c r="F42" s="17">
        <f>C42*E42</f>
        <v>0</v>
      </c>
      <c r="G42" s="88">
        <f>D42*E42</f>
        <v>0</v>
      </c>
      <c r="I42">
        <f>IF($I$26&gt;0,0,E42)</f>
        <v>0</v>
      </c>
    </row>
    <row r="43" spans="2:14" x14ac:dyDescent="0.2">
      <c r="B43" s="231" t="s">
        <v>243</v>
      </c>
      <c r="C43" s="15">
        <v>784</v>
      </c>
      <c r="D43" s="54">
        <v>784</v>
      </c>
      <c r="E43" s="5">
        <f>IF(Utslag!B41&lt;50,0,IF(Utslag!B41&gt;50,Utslag!B41-50))</f>
        <v>0</v>
      </c>
      <c r="F43" s="17">
        <f>C43*E43</f>
        <v>0</v>
      </c>
      <c r="G43" s="88">
        <f>D43*E43</f>
        <v>0</v>
      </c>
      <c r="I43">
        <f>IF($I$26&gt;0,0,E43)</f>
        <v>0</v>
      </c>
    </row>
    <row r="44" spans="2:14" x14ac:dyDescent="0.2">
      <c r="B44" s="76"/>
      <c r="C44" s="15"/>
      <c r="D44" s="54"/>
      <c r="E44" s="17"/>
      <c r="F44" s="17"/>
      <c r="G44" s="88"/>
    </row>
    <row r="45" spans="2:14" x14ac:dyDescent="0.2">
      <c r="B45" s="78" t="s">
        <v>10</v>
      </c>
      <c r="C45" s="43"/>
      <c r="D45" s="49"/>
      <c r="E45" s="50"/>
      <c r="F45" s="50"/>
      <c r="G45" s="87"/>
    </row>
    <row r="46" spans="2:14" x14ac:dyDescent="0.2">
      <c r="B46" s="91" t="s">
        <v>95</v>
      </c>
      <c r="C46" s="15">
        <v>682</v>
      </c>
      <c r="D46" s="52">
        <v>500</v>
      </c>
      <c r="E46" s="281">
        <f>IF(AND(Utslag!$B$45&lt;35,Utslag!$B$4&lt;6),Utslag!$B$45,IF(AND(Utslag!$B$45&lt;35,Utslag!$B$4&gt;5),0,IF(AND(Utslag!$B$45&gt;35,Utslag!$B$4&gt;5),0,35)))</f>
        <v>0</v>
      </c>
      <c r="F46" s="17">
        <f>C46*E46</f>
        <v>0</v>
      </c>
      <c r="G46" s="88">
        <f>D46*E46</f>
        <v>0</v>
      </c>
    </row>
    <row r="47" spans="2:14" x14ac:dyDescent="0.2">
      <c r="B47" s="280" t="s">
        <v>245</v>
      </c>
      <c r="C47" s="15">
        <v>534</v>
      </c>
      <c r="D47" s="52">
        <v>352</v>
      </c>
      <c r="E47" s="183">
        <f>IF(AND(Utslag!$B$45&lt;35,Utslag!$B$4&lt;6),Utslag!$B$45,IF(AND(Utslag!$B$45&lt;35,Utslag!$B$4&gt;5),0,IF(AND(Utslag!$B$45&gt;35,Utslag!$B$4&gt;5),0,35)))</f>
        <v>0</v>
      </c>
      <c r="F47" s="17"/>
      <c r="G47" s="88"/>
    </row>
    <row r="48" spans="2:14" x14ac:dyDescent="0.2">
      <c r="B48" s="91" t="s">
        <v>96</v>
      </c>
      <c r="C48" s="15">
        <v>962</v>
      </c>
      <c r="D48" s="52">
        <v>780</v>
      </c>
      <c r="E48" s="5">
        <f>IF(AND(Utslag!$B$45&lt;35,Utslag!$B$4&gt;5),Utslag!$B$45,IF(AND(Utslag!$B$45&lt;35,Utslag!$B$4&lt;6),0,IF(AND(Utslag!$B$4&gt;5,Utslag!$B$45&gt;35),35,0)))</f>
        <v>0</v>
      </c>
      <c r="F48" s="17">
        <f>C48*E48</f>
        <v>0</v>
      </c>
      <c r="G48" s="88">
        <f>D48*E48</f>
        <v>0</v>
      </c>
    </row>
    <row r="49" spans="2:7" x14ac:dyDescent="0.2">
      <c r="B49" s="73"/>
      <c r="C49" s="15"/>
      <c r="D49" s="52"/>
      <c r="E49" s="17"/>
      <c r="F49" s="17"/>
      <c r="G49" s="88"/>
    </row>
    <row r="50" spans="2:7" x14ac:dyDescent="0.2">
      <c r="B50" s="78" t="s">
        <v>11</v>
      </c>
      <c r="C50" s="43"/>
      <c r="D50" s="49"/>
      <c r="E50" s="50"/>
      <c r="F50" s="50"/>
      <c r="G50" s="87"/>
    </row>
    <row r="51" spans="2:7" x14ac:dyDescent="0.2">
      <c r="B51" s="91" t="s">
        <v>53</v>
      </c>
      <c r="C51" s="15">
        <v>18</v>
      </c>
      <c r="D51" s="52">
        <v>14</v>
      </c>
      <c r="E51" s="17">
        <f>IF(Utslag!B46&lt;1400,Utslag!B46,1400)</f>
        <v>0</v>
      </c>
      <c r="F51" s="17">
        <f>C51*E51</f>
        <v>0</v>
      </c>
      <c r="G51" s="88">
        <f>D51*E51</f>
        <v>0</v>
      </c>
    </row>
    <row r="52" spans="2:7" x14ac:dyDescent="0.2">
      <c r="B52" s="231" t="s">
        <v>249</v>
      </c>
      <c r="C52" s="15">
        <v>14</v>
      </c>
      <c r="D52" s="52">
        <v>10</v>
      </c>
      <c r="E52" s="281">
        <f>IF(AND(Utslag!B46&lt;1400,Utslag!B4="2"),Utslag!B46,IF(AND(Utslag!B46&lt;1400,Utslag!B4&gt;2),0,IF(AND(Utslag!B46&gt;1400,Utslag!B4="2"),1400,0)))</f>
        <v>0</v>
      </c>
      <c r="F52" s="17">
        <f>C52*E52</f>
        <v>0</v>
      </c>
      <c r="G52" s="88">
        <f>D52*E52</f>
        <v>0</v>
      </c>
    </row>
    <row r="53" spans="2:7" x14ac:dyDescent="0.2">
      <c r="B53" s="91"/>
      <c r="C53" s="15"/>
      <c r="D53" s="52"/>
      <c r="E53" s="17"/>
      <c r="F53" s="17"/>
      <c r="G53" s="88"/>
    </row>
    <row r="54" spans="2:7" x14ac:dyDescent="0.2">
      <c r="B54" s="78" t="s">
        <v>12</v>
      </c>
      <c r="C54" s="43"/>
      <c r="D54" s="49"/>
      <c r="E54" s="50"/>
      <c r="F54" s="50"/>
      <c r="G54" s="87"/>
    </row>
    <row r="55" spans="2:7" x14ac:dyDescent="0.2">
      <c r="B55" s="73" t="s">
        <v>101</v>
      </c>
      <c r="C55" s="15">
        <v>10</v>
      </c>
      <c r="D55" s="52">
        <v>10</v>
      </c>
      <c r="E55" s="5"/>
      <c r="F55" s="17"/>
      <c r="G55" s="88"/>
    </row>
    <row r="56" spans="2:7" x14ac:dyDescent="0.2">
      <c r="B56" s="73" t="s">
        <v>102</v>
      </c>
      <c r="C56" s="15">
        <v>24</v>
      </c>
      <c r="D56" s="52">
        <v>24</v>
      </c>
      <c r="E56" s="5"/>
      <c r="F56" s="17"/>
      <c r="G56" s="88"/>
    </row>
    <row r="57" spans="2:7" x14ac:dyDescent="0.2">
      <c r="B57" s="76" t="s">
        <v>103</v>
      </c>
      <c r="C57" s="15">
        <v>10</v>
      </c>
      <c r="D57" s="52">
        <v>10</v>
      </c>
      <c r="E57" s="17"/>
      <c r="F57" s="17"/>
      <c r="G57" s="88"/>
    </row>
    <row r="58" spans="2:7" x14ac:dyDescent="0.2">
      <c r="B58" s="103" t="s">
        <v>210</v>
      </c>
      <c r="C58" s="56">
        <v>210</v>
      </c>
      <c r="D58" s="57">
        <v>210</v>
      </c>
      <c r="E58" s="282"/>
      <c r="F58" s="58"/>
      <c r="G58" s="104"/>
    </row>
    <row r="59" spans="2:7" x14ac:dyDescent="0.2">
      <c r="B59" s="284" t="s">
        <v>256</v>
      </c>
      <c r="C59" s="15">
        <v>400</v>
      </c>
      <c r="D59" s="52">
        <v>425</v>
      </c>
      <c r="E59" s="17"/>
      <c r="F59" s="58">
        <f t="shared" ref="F59" si="5">C59*E59</f>
        <v>0</v>
      </c>
      <c r="G59" s="104">
        <f t="shared" ref="G59" si="6">D59*E59</f>
        <v>0</v>
      </c>
    </row>
    <row r="60" spans="2:7" x14ac:dyDescent="0.2">
      <c r="B60" s="283" t="s">
        <v>250</v>
      </c>
      <c r="C60" s="56"/>
      <c r="D60" s="57"/>
      <c r="E60" s="56"/>
      <c r="F60" s="58">
        <f t="shared" ref="F60:F64" si="7">C60*E60</f>
        <v>0</v>
      </c>
      <c r="G60" s="104">
        <f t="shared" ref="G60:G64" si="8">D60*E60</f>
        <v>0</v>
      </c>
    </row>
    <row r="61" spans="2:7" x14ac:dyDescent="0.2">
      <c r="B61" s="231" t="s">
        <v>6</v>
      </c>
      <c r="C61" s="15">
        <v>2200</v>
      </c>
      <c r="D61" s="52">
        <v>2900</v>
      </c>
      <c r="E61" s="300">
        <f>Utslag!$B$50</f>
        <v>0</v>
      </c>
      <c r="F61" s="58">
        <f>C61*E61</f>
        <v>0</v>
      </c>
      <c r="G61" s="104">
        <f>D61*E61</f>
        <v>0</v>
      </c>
    </row>
    <row r="62" spans="2:7" x14ac:dyDescent="0.2">
      <c r="B62" s="231" t="s">
        <v>81</v>
      </c>
      <c r="C62" s="15">
        <v>0</v>
      </c>
      <c r="D62" s="52">
        <v>200</v>
      </c>
      <c r="E62" s="300">
        <f>Utslag!$B$51</f>
        <v>0</v>
      </c>
      <c r="F62" s="58">
        <f t="shared" si="7"/>
        <v>0</v>
      </c>
      <c r="G62" s="104">
        <f>D62*E62</f>
        <v>0</v>
      </c>
    </row>
    <row r="63" spans="2:7" x14ac:dyDescent="0.2">
      <c r="B63" s="231" t="s">
        <v>56</v>
      </c>
      <c r="C63" s="26">
        <v>0</v>
      </c>
      <c r="D63" s="230">
        <v>500</v>
      </c>
      <c r="E63" s="165">
        <f>Utslag!$B$52</f>
        <v>0</v>
      </c>
      <c r="F63" s="58">
        <f t="shared" si="7"/>
        <v>0</v>
      </c>
      <c r="G63" s="104">
        <f t="shared" si="8"/>
        <v>0</v>
      </c>
    </row>
    <row r="64" spans="2:7" x14ac:dyDescent="0.2">
      <c r="B64" s="232" t="s">
        <v>60</v>
      </c>
      <c r="C64" s="47">
        <v>0</v>
      </c>
      <c r="D64" s="276">
        <v>1000</v>
      </c>
      <c r="E64" s="282">
        <f>Utslag!$B$53</f>
        <v>0</v>
      </c>
      <c r="F64" s="58">
        <f t="shared" si="7"/>
        <v>0</v>
      </c>
      <c r="G64" s="104">
        <f t="shared" si="8"/>
        <v>0</v>
      </c>
    </row>
    <row r="65" spans="2:11" x14ac:dyDescent="0.2">
      <c r="B65" s="284"/>
      <c r="C65" s="17"/>
      <c r="D65" s="17"/>
      <c r="E65" s="17"/>
      <c r="F65" s="59">
        <f>SUM(F26:F64)</f>
        <v>0</v>
      </c>
      <c r="G65" s="105">
        <f>SUM(G26:G64)</f>
        <v>0</v>
      </c>
    </row>
    <row r="66" spans="2:11" x14ac:dyDescent="0.2">
      <c r="B66" s="74" t="s">
        <v>32</v>
      </c>
      <c r="C66" s="106">
        <v>560000</v>
      </c>
      <c r="D66" s="106">
        <v>560000</v>
      </c>
      <c r="E66" s="9"/>
      <c r="F66" s="9" t="s">
        <v>33</v>
      </c>
      <c r="G66" s="75" t="s">
        <v>34</v>
      </c>
      <c r="H66" s="292" t="s">
        <v>32</v>
      </c>
      <c r="I66" s="293">
        <v>280000</v>
      </c>
      <c r="J66" s="294">
        <v>560000</v>
      </c>
      <c r="K66" s="295"/>
    </row>
    <row r="67" spans="2:11" x14ac:dyDescent="0.2">
      <c r="B67" s="286" t="s">
        <v>191</v>
      </c>
      <c r="C67" s="287"/>
      <c r="D67" s="287"/>
      <c r="E67" s="287"/>
      <c r="F67" s="287">
        <f>IF(F65&gt;C66,C66,F65)</f>
        <v>0</v>
      </c>
      <c r="G67" s="287">
        <f>IF(G65&gt;D66,D66,G65)</f>
        <v>0</v>
      </c>
      <c r="H67" s="292" t="s">
        <v>58</v>
      </c>
      <c r="I67" s="295"/>
      <c r="J67" s="295"/>
      <c r="K67" s="295"/>
    </row>
    <row r="68" spans="2:11" x14ac:dyDescent="0.2">
      <c r="B68" s="33"/>
      <c r="C68" s="288"/>
      <c r="D68" s="288"/>
      <c r="E68" s="288"/>
      <c r="F68" s="287"/>
      <c r="G68" s="287"/>
      <c r="H68" s="296"/>
      <c r="I68" s="295"/>
      <c r="J68" s="295"/>
      <c r="K68" s="295"/>
    </row>
    <row r="69" spans="2:11" x14ac:dyDescent="0.2">
      <c r="B69" s="288">
        <v>1</v>
      </c>
      <c r="C69" s="289">
        <f>IF(AND(F65&lt;$C$66,G65&lt;D66),G65-F65,0)</f>
        <v>0</v>
      </c>
      <c r="D69" s="290" t="s">
        <v>251</v>
      </c>
      <c r="E69" s="288"/>
      <c r="F69" s="288"/>
      <c r="G69" s="288"/>
      <c r="H69" s="295">
        <v>1</v>
      </c>
      <c r="I69" s="297">
        <f>IF(AND(F65&lt;$I$66,G65&lt;$J$66),0,0)</f>
        <v>0</v>
      </c>
      <c r="J69" s="295"/>
      <c r="K69" s="295"/>
    </row>
    <row r="70" spans="2:11" x14ac:dyDescent="0.2">
      <c r="B70" s="288">
        <v>2</v>
      </c>
      <c r="C70" s="288">
        <f>IF(AND(F65&lt;C66,G65&gt;D66),(D66-F65),0)</f>
        <v>0</v>
      </c>
      <c r="D70" s="288" t="s">
        <v>35</v>
      </c>
      <c r="E70" s="288"/>
      <c r="F70" s="288"/>
      <c r="G70" s="288"/>
      <c r="H70" s="295">
        <v>2</v>
      </c>
      <c r="I70" s="295">
        <f>IF(AND(F65&lt;I66,G65&gt;J66),(J66-F65),0)</f>
        <v>0</v>
      </c>
      <c r="J70" s="295" t="s">
        <v>35</v>
      </c>
      <c r="K70" s="295"/>
    </row>
    <row r="71" spans="2:11" x14ac:dyDescent="0.2">
      <c r="B71" s="288">
        <v>3</v>
      </c>
      <c r="C71" s="288">
        <f>IF(AND(F65&gt;C66,G65&gt;D66),(D66-C66),0)</f>
        <v>0</v>
      </c>
      <c r="D71" s="288" t="s">
        <v>36</v>
      </c>
      <c r="E71" s="288"/>
      <c r="F71" s="288"/>
      <c r="G71" s="288"/>
      <c r="H71" s="295">
        <v>3</v>
      </c>
      <c r="I71" s="298">
        <f>IF(AND(F65&gt;I66,G65&gt;J66),(J66-I66),0)</f>
        <v>0</v>
      </c>
      <c r="J71" s="295" t="s">
        <v>36</v>
      </c>
      <c r="K71" s="295"/>
    </row>
    <row r="72" spans="2:11" x14ac:dyDescent="0.2">
      <c r="B72" s="291">
        <v>4</v>
      </c>
      <c r="C72" s="291">
        <f>IF(AND(F65&gt;C66,G65&lt;D66),(G65-C66),0)</f>
        <v>0</v>
      </c>
      <c r="D72" s="288" t="s">
        <v>37</v>
      </c>
      <c r="E72" s="288"/>
      <c r="F72" s="288"/>
      <c r="G72" s="288"/>
      <c r="H72" s="296">
        <v>4</v>
      </c>
      <c r="I72" s="296">
        <f>IF(AND(F65&gt;I66,G65&lt;J66),(G65-I66),0)</f>
        <v>0</v>
      </c>
      <c r="J72" s="295" t="s">
        <v>37</v>
      </c>
      <c r="K72" s="295"/>
    </row>
    <row r="73" spans="2:11" x14ac:dyDescent="0.2">
      <c r="C73" s="2">
        <f>SUM(C69:C72)</f>
        <v>0</v>
      </c>
      <c r="H73" s="295"/>
      <c r="I73" s="299">
        <f>SUM(I69:I72)</f>
        <v>0</v>
      </c>
      <c r="J73" s="295"/>
      <c r="K73" s="295"/>
    </row>
    <row r="74" spans="2:11" x14ac:dyDescent="0.2">
      <c r="C74" s="2"/>
      <c r="I74" s="20"/>
    </row>
    <row r="75" spans="2:11" x14ac:dyDescent="0.2">
      <c r="B75" s="180" t="s">
        <v>216</v>
      </c>
      <c r="C75" s="2">
        <f>'Ark18'!C15*-210</f>
        <v>0</v>
      </c>
      <c r="D75">
        <f>IF(('Ark18'!C14+'Ark18'!C15)&lt;101,800*'Ark18'!C15,250*'Ark18'!C15)</f>
        <v>0</v>
      </c>
      <c r="E75">
        <f>D75+C75</f>
        <v>0</v>
      </c>
      <c r="I75" s="20"/>
    </row>
    <row r="76" spans="2:11" x14ac:dyDescent="0.2">
      <c r="B76" s="16"/>
      <c r="C76" s="17"/>
      <c r="D76" s="17"/>
      <c r="E76" s="17"/>
      <c r="F76" s="17"/>
      <c r="G76" s="17"/>
      <c r="H76" s="17"/>
      <c r="I76" s="17"/>
    </row>
    <row r="77" spans="2:11" ht="14.25" x14ac:dyDescent="0.2">
      <c r="B77" s="29" t="s">
        <v>126</v>
      </c>
      <c r="C77" s="17"/>
      <c r="D77" s="166">
        <f>G67-F67</f>
        <v>0</v>
      </c>
      <c r="E77" s="17"/>
      <c r="F77" s="17"/>
      <c r="G77" s="17"/>
      <c r="H77" s="17"/>
      <c r="I77" s="17"/>
    </row>
    <row r="79" spans="2:11" x14ac:dyDescent="0.2">
      <c r="B79" s="78" t="s">
        <v>43</v>
      </c>
      <c r="C79" s="50"/>
      <c r="D79" s="50"/>
      <c r="E79" s="50"/>
      <c r="F79" s="41" t="s">
        <v>130</v>
      </c>
      <c r="G79" s="87"/>
    </row>
    <row r="80" spans="2:11" x14ac:dyDescent="0.2">
      <c r="B80" s="69" t="s">
        <v>4</v>
      </c>
      <c r="C80" s="59" t="s">
        <v>27</v>
      </c>
      <c r="D80" s="59" t="s">
        <v>252</v>
      </c>
      <c r="E80" s="6" t="s">
        <v>29</v>
      </c>
      <c r="F80" s="6" t="s">
        <v>30</v>
      </c>
      <c r="G80" s="79" t="s">
        <v>31</v>
      </c>
    </row>
    <row r="81" spans="2:7" x14ac:dyDescent="0.2">
      <c r="B81" s="253" t="s">
        <v>230</v>
      </c>
      <c r="C81" s="48">
        <v>3557</v>
      </c>
      <c r="D81" s="155">
        <v>3557</v>
      </c>
      <c r="E81" s="252">
        <f>Utslag!B40</f>
        <v>0</v>
      </c>
      <c r="F81" s="49">
        <f>C81*E81</f>
        <v>0</v>
      </c>
      <c r="G81" s="107">
        <f>D81*E81</f>
        <v>0</v>
      </c>
    </row>
    <row r="82" spans="2:7" x14ac:dyDescent="0.2">
      <c r="B82" s="73"/>
      <c r="C82" s="51"/>
      <c r="D82" s="51"/>
      <c r="E82" s="17"/>
      <c r="F82" s="52"/>
      <c r="G82" s="108"/>
    </row>
    <row r="83" spans="2:7" x14ac:dyDescent="0.2">
      <c r="B83" s="69" t="s">
        <v>6</v>
      </c>
      <c r="C83" s="51"/>
      <c r="D83" s="51"/>
      <c r="E83" s="17"/>
      <c r="F83" s="52"/>
      <c r="G83" s="108"/>
    </row>
    <row r="84" spans="2:7" x14ac:dyDescent="0.2">
      <c r="B84" s="73" t="s">
        <v>110</v>
      </c>
      <c r="C84" s="51">
        <v>593</v>
      </c>
      <c r="D84" s="155">
        <v>593</v>
      </c>
      <c r="E84" s="165">
        <f>Utslag!B42</f>
        <v>0</v>
      </c>
      <c r="F84" s="52">
        <f>C84*E84</f>
        <v>0</v>
      </c>
      <c r="G84" s="108">
        <f>D84*E84</f>
        <v>0</v>
      </c>
    </row>
    <row r="85" spans="2:7" x14ac:dyDescent="0.2">
      <c r="B85" s="73"/>
      <c r="C85" s="51"/>
      <c r="D85" s="51"/>
      <c r="E85" s="17"/>
      <c r="F85" s="52"/>
      <c r="G85" s="108"/>
    </row>
    <row r="86" spans="2:7" x14ac:dyDescent="0.2">
      <c r="B86" s="69" t="s">
        <v>136</v>
      </c>
      <c r="C86" s="51"/>
      <c r="D86" s="51"/>
      <c r="E86" s="17"/>
      <c r="F86" s="52"/>
      <c r="G86" s="108"/>
    </row>
    <row r="87" spans="2:7" x14ac:dyDescent="0.2">
      <c r="B87" s="231" t="s">
        <v>110</v>
      </c>
      <c r="C87" s="51">
        <v>820</v>
      </c>
      <c r="D87" s="155">
        <v>820</v>
      </c>
      <c r="E87" s="165">
        <f>Utslag!B43</f>
        <v>0</v>
      </c>
      <c r="F87" s="52">
        <f>C87*E87</f>
        <v>0</v>
      </c>
      <c r="G87" s="108">
        <f>D87*E87</f>
        <v>0</v>
      </c>
    </row>
    <row r="88" spans="2:7" x14ac:dyDescent="0.2">
      <c r="B88" s="73"/>
      <c r="C88" s="51"/>
      <c r="D88" s="51"/>
      <c r="E88" s="17"/>
      <c r="F88" s="52"/>
      <c r="G88" s="108"/>
    </row>
    <row r="89" spans="2:7" x14ac:dyDescent="0.2">
      <c r="B89" s="69" t="s">
        <v>8</v>
      </c>
      <c r="C89" s="51"/>
      <c r="D89" s="51"/>
      <c r="E89" s="17"/>
      <c r="F89" s="52"/>
      <c r="G89" s="108"/>
    </row>
    <row r="90" spans="2:7" x14ac:dyDescent="0.2">
      <c r="B90" s="76" t="s">
        <v>110</v>
      </c>
      <c r="C90" s="51">
        <v>514</v>
      </c>
      <c r="D90" s="155">
        <v>514</v>
      </c>
      <c r="E90" s="165">
        <f>Utslag!B44</f>
        <v>0</v>
      </c>
      <c r="F90" s="52">
        <f>C90*E90</f>
        <v>0</v>
      </c>
      <c r="G90" s="108">
        <f>D90*E90</f>
        <v>0</v>
      </c>
    </row>
    <row r="91" spans="2:7" x14ac:dyDescent="0.2">
      <c r="B91" s="69" t="s">
        <v>16</v>
      </c>
      <c r="C91" s="51"/>
      <c r="D91" s="51"/>
      <c r="E91" s="17"/>
      <c r="F91" s="52"/>
      <c r="G91" s="108"/>
    </row>
    <row r="92" spans="2:7" x14ac:dyDescent="0.2">
      <c r="B92" s="91" t="s">
        <v>110</v>
      </c>
      <c r="C92" s="51">
        <v>982</v>
      </c>
      <c r="D92" s="155">
        <v>982</v>
      </c>
      <c r="E92" s="165">
        <f>Utslag!B41</f>
        <v>0</v>
      </c>
      <c r="F92" s="52">
        <f>C92*E92</f>
        <v>0</v>
      </c>
      <c r="G92" s="108">
        <f>D92*E92</f>
        <v>0</v>
      </c>
    </row>
    <row r="93" spans="2:7" x14ac:dyDescent="0.2">
      <c r="B93" s="73"/>
      <c r="C93" s="51"/>
      <c r="D93" s="51"/>
      <c r="E93" s="17"/>
      <c r="F93" s="52"/>
      <c r="G93" s="108"/>
    </row>
    <row r="94" spans="2:7" x14ac:dyDescent="0.2">
      <c r="B94" s="69" t="s">
        <v>10</v>
      </c>
      <c r="C94" s="51"/>
      <c r="D94" s="51"/>
      <c r="E94" s="17"/>
      <c r="F94" s="52"/>
      <c r="G94" s="108"/>
    </row>
    <row r="95" spans="2:7" x14ac:dyDescent="0.2">
      <c r="B95" s="91" t="s">
        <v>110</v>
      </c>
      <c r="C95" s="51">
        <v>1173</v>
      </c>
      <c r="D95" s="155">
        <v>1173</v>
      </c>
      <c r="E95" s="165">
        <f>Utslag!B45</f>
        <v>0</v>
      </c>
      <c r="F95" s="52">
        <f>C95*E95</f>
        <v>0</v>
      </c>
      <c r="G95" s="108">
        <f>D95*E95</f>
        <v>0</v>
      </c>
    </row>
    <row r="96" spans="2:7" x14ac:dyDescent="0.2">
      <c r="B96" s="73"/>
      <c r="C96" s="51"/>
      <c r="D96" s="51"/>
      <c r="E96" s="17"/>
      <c r="F96" s="52"/>
      <c r="G96" s="108"/>
    </row>
    <row r="97" spans="2:7" x14ac:dyDescent="0.2">
      <c r="B97" s="69" t="s">
        <v>11</v>
      </c>
      <c r="C97" s="51"/>
      <c r="D97" s="51"/>
      <c r="E97" s="17"/>
      <c r="F97" s="52"/>
      <c r="G97" s="108"/>
    </row>
    <row r="98" spans="2:7" x14ac:dyDescent="0.2">
      <c r="B98" s="91" t="s">
        <v>110</v>
      </c>
      <c r="C98" s="51">
        <v>40</v>
      </c>
      <c r="D98" s="155">
        <v>40</v>
      </c>
      <c r="E98" s="165">
        <f>Utslag!B46</f>
        <v>0</v>
      </c>
      <c r="F98" s="52">
        <f>C98*E98</f>
        <v>0</v>
      </c>
      <c r="G98" s="108">
        <f>D98*E98</f>
        <v>0</v>
      </c>
    </row>
    <row r="99" spans="2:7" x14ac:dyDescent="0.2">
      <c r="B99" s="73"/>
      <c r="C99" s="60"/>
      <c r="D99" s="51"/>
      <c r="E99" s="17"/>
      <c r="F99" s="52"/>
      <c r="G99" s="108"/>
    </row>
    <row r="100" spans="2:7" x14ac:dyDescent="0.2">
      <c r="B100" s="69" t="s">
        <v>12</v>
      </c>
      <c r="C100" s="51"/>
      <c r="D100" s="51"/>
      <c r="E100" s="17"/>
      <c r="F100" s="52"/>
      <c r="G100" s="108"/>
    </row>
    <row r="101" spans="2:7" x14ac:dyDescent="0.2">
      <c r="B101" s="73" t="s">
        <v>110</v>
      </c>
      <c r="C101" s="61">
        <v>10.3</v>
      </c>
      <c r="D101" s="155">
        <v>10.3</v>
      </c>
      <c r="E101" s="165" t="e">
        <f>Utslag!#REF!</f>
        <v>#REF!</v>
      </c>
      <c r="F101" s="52" t="e">
        <f>C101*E101</f>
        <v>#REF!</v>
      </c>
      <c r="G101" s="108" t="e">
        <f>D101*E101</f>
        <v>#REF!</v>
      </c>
    </row>
    <row r="102" spans="2:7" x14ac:dyDescent="0.2">
      <c r="B102" s="73"/>
      <c r="C102" s="51"/>
      <c r="D102" s="51"/>
      <c r="E102" s="17"/>
      <c r="F102" s="52"/>
      <c r="G102" s="108"/>
    </row>
    <row r="103" spans="2:7" x14ac:dyDescent="0.2">
      <c r="B103" s="69" t="s">
        <v>111</v>
      </c>
      <c r="C103" s="51"/>
      <c r="D103" s="51"/>
      <c r="E103" s="17"/>
      <c r="F103" s="52"/>
      <c r="G103" s="108"/>
    </row>
    <row r="104" spans="2:7" ht="11.25" customHeight="1" x14ac:dyDescent="0.2">
      <c r="B104" s="73" t="s">
        <v>110</v>
      </c>
      <c r="C104" s="51">
        <v>1173</v>
      </c>
      <c r="D104" s="155">
        <v>1173</v>
      </c>
      <c r="E104" s="165" t="e">
        <f>Utslag!#REF!</f>
        <v>#REF!</v>
      </c>
      <c r="F104" s="52"/>
      <c r="G104" s="108"/>
    </row>
    <row r="105" spans="2:7" x14ac:dyDescent="0.2">
      <c r="B105" s="73"/>
      <c r="C105" s="60"/>
      <c r="D105" s="51"/>
      <c r="E105" s="17"/>
      <c r="F105" s="52"/>
      <c r="G105" s="108"/>
    </row>
    <row r="106" spans="2:7" x14ac:dyDescent="0.2">
      <c r="B106" s="69" t="s">
        <v>112</v>
      </c>
      <c r="C106" s="60"/>
      <c r="D106" s="51"/>
      <c r="E106" s="17"/>
      <c r="F106" s="52"/>
      <c r="G106" s="108"/>
    </row>
    <row r="107" spans="2:7" x14ac:dyDescent="0.2">
      <c r="B107" s="73" t="s">
        <v>110</v>
      </c>
      <c r="C107" s="51">
        <v>292</v>
      </c>
      <c r="D107" s="155">
        <v>292</v>
      </c>
      <c r="E107" s="165" t="e">
        <f>Utslag!#REF!</f>
        <v>#REF!</v>
      </c>
      <c r="F107" s="52"/>
      <c r="G107" s="108"/>
    </row>
    <row r="108" spans="2:7" x14ac:dyDescent="0.2">
      <c r="B108" s="73"/>
      <c r="C108" s="60"/>
      <c r="D108" s="51"/>
      <c r="E108" s="17"/>
      <c r="F108" s="52"/>
      <c r="G108" s="108"/>
    </row>
    <row r="109" spans="2:7" x14ac:dyDescent="0.2">
      <c r="B109" s="69" t="s">
        <v>113</v>
      </c>
      <c r="C109" s="60"/>
      <c r="D109" s="51"/>
      <c r="E109" s="17"/>
      <c r="F109" s="52"/>
      <c r="G109" s="108"/>
    </row>
    <row r="110" spans="2:7" x14ac:dyDescent="0.2">
      <c r="B110" s="73" t="s">
        <v>110</v>
      </c>
      <c r="C110" s="60">
        <v>3.59</v>
      </c>
      <c r="D110" s="67">
        <v>3.59</v>
      </c>
      <c r="E110" s="165" t="e">
        <f>Utslag!#REF!</f>
        <v>#REF!</v>
      </c>
      <c r="F110" s="52"/>
      <c r="G110" s="108"/>
    </row>
    <row r="111" spans="2:7" x14ac:dyDescent="0.2">
      <c r="B111" s="73"/>
      <c r="C111" s="60"/>
      <c r="D111" s="51"/>
      <c r="E111" s="17"/>
      <c r="F111" s="52"/>
      <c r="G111" s="108"/>
    </row>
    <row r="112" spans="2:7" x14ac:dyDescent="0.2">
      <c r="B112" s="69" t="s">
        <v>114</v>
      </c>
      <c r="C112" s="60"/>
      <c r="D112" s="51"/>
      <c r="E112" s="17"/>
      <c r="F112" s="52"/>
      <c r="G112" s="108"/>
    </row>
    <row r="113" spans="2:9" x14ac:dyDescent="0.2">
      <c r="B113" s="73" t="s">
        <v>110</v>
      </c>
      <c r="C113" s="61">
        <v>3.59</v>
      </c>
      <c r="D113" s="155">
        <v>3.59</v>
      </c>
      <c r="E113" s="165" t="e">
        <f>Utslag!#REF!</f>
        <v>#REF!</v>
      </c>
      <c r="F113" s="52"/>
      <c r="G113" s="108"/>
    </row>
    <row r="114" spans="2:9" x14ac:dyDescent="0.2">
      <c r="B114" s="73"/>
      <c r="C114" s="60"/>
      <c r="D114" s="51"/>
      <c r="E114" s="17"/>
      <c r="F114" s="52"/>
      <c r="G114" s="108"/>
    </row>
    <row r="115" spans="2:9" x14ac:dyDescent="0.2">
      <c r="B115" s="69" t="s">
        <v>115</v>
      </c>
      <c r="C115" s="60"/>
      <c r="D115" s="51"/>
      <c r="E115" s="17"/>
      <c r="F115" s="52"/>
      <c r="G115" s="108"/>
    </row>
    <row r="116" spans="2:9" x14ac:dyDescent="0.2">
      <c r="B116" s="73" t="s">
        <v>110</v>
      </c>
      <c r="C116" s="61">
        <v>0.44</v>
      </c>
      <c r="D116" s="67">
        <v>0.44</v>
      </c>
      <c r="E116" s="165" t="e">
        <f>Utslag!#REF!</f>
        <v>#REF!</v>
      </c>
      <c r="F116" s="52" t="e">
        <f>C116*E116</f>
        <v>#REF!</v>
      </c>
      <c r="G116" s="108" t="e">
        <f>D116*E116</f>
        <v>#REF!</v>
      </c>
    </row>
    <row r="117" spans="2:9" x14ac:dyDescent="0.2">
      <c r="B117" s="73"/>
      <c r="C117" s="60"/>
      <c r="D117" s="51"/>
      <c r="E117" s="17"/>
      <c r="F117" s="52"/>
      <c r="G117" s="108"/>
    </row>
    <row r="118" spans="2:9" x14ac:dyDescent="0.2">
      <c r="B118" s="69" t="s">
        <v>116</v>
      </c>
      <c r="C118" s="60"/>
      <c r="D118" s="51"/>
      <c r="F118" s="52"/>
      <c r="G118" s="108"/>
    </row>
    <row r="119" spans="2:9" x14ac:dyDescent="0.2">
      <c r="B119" s="73" t="s">
        <v>110</v>
      </c>
      <c r="C119" s="51">
        <v>322</v>
      </c>
      <c r="D119" s="155">
        <v>322</v>
      </c>
      <c r="E119" s="165" t="e">
        <f>Utslag!#REF!</f>
        <v>#REF!</v>
      </c>
      <c r="F119" s="52"/>
      <c r="G119" s="108"/>
    </row>
    <row r="120" spans="2:9" x14ac:dyDescent="0.2">
      <c r="B120" s="73"/>
      <c r="C120" s="51"/>
      <c r="D120" s="51"/>
      <c r="E120" s="17"/>
      <c r="F120" s="52"/>
      <c r="G120" s="108"/>
    </row>
    <row r="121" spans="2:9" x14ac:dyDescent="0.2">
      <c r="B121" s="69" t="s">
        <v>117</v>
      </c>
      <c r="C121" s="51"/>
      <c r="D121" s="51"/>
      <c r="E121" s="17"/>
      <c r="F121" s="52"/>
      <c r="G121" s="108"/>
    </row>
    <row r="122" spans="2:9" x14ac:dyDescent="0.2">
      <c r="B122" s="74" t="s">
        <v>110</v>
      </c>
      <c r="C122" s="53">
        <v>94</v>
      </c>
      <c r="D122" s="155">
        <v>94</v>
      </c>
      <c r="E122" s="282" t="e">
        <f>Utslag!#REF!</f>
        <v>#REF!</v>
      </c>
      <c r="F122" s="30"/>
      <c r="G122" s="109"/>
    </row>
    <row r="123" spans="2:9" x14ac:dyDescent="0.2">
      <c r="B123" s="90"/>
      <c r="C123" s="110"/>
      <c r="D123" s="15"/>
      <c r="E123" s="17"/>
      <c r="F123" s="17"/>
      <c r="G123" s="88"/>
    </row>
    <row r="124" spans="2:9" x14ac:dyDescent="0.2">
      <c r="B124" s="69"/>
      <c r="C124" s="110"/>
      <c r="D124" s="15"/>
      <c r="E124" s="17"/>
      <c r="F124" s="111" t="e">
        <f>SUM(F81:F122)</f>
        <v>#REF!</v>
      </c>
      <c r="G124" s="112" t="e">
        <f>SUM(G81:G122)</f>
        <v>#REF!</v>
      </c>
      <c r="I124" s="7"/>
    </row>
    <row r="125" spans="2:9" x14ac:dyDescent="0.2">
      <c r="B125" s="71" t="s">
        <v>32</v>
      </c>
      <c r="C125" s="106">
        <v>74200</v>
      </c>
      <c r="D125" s="113">
        <v>74200</v>
      </c>
      <c r="E125" s="9"/>
      <c r="F125" s="9" t="s">
        <v>33</v>
      </c>
      <c r="G125" s="75" t="s">
        <v>34</v>
      </c>
    </row>
    <row r="126" spans="2:9" x14ac:dyDescent="0.2">
      <c r="B126" s="5"/>
    </row>
    <row r="127" spans="2:9" x14ac:dyDescent="0.2">
      <c r="B127" s="33"/>
      <c r="C127" s="288"/>
      <c r="D127" s="288"/>
      <c r="E127" s="288"/>
      <c r="F127" s="11"/>
    </row>
    <row r="128" spans="2:9" x14ac:dyDescent="0.2">
      <c r="B128" s="288">
        <v>1</v>
      </c>
      <c r="C128" s="289" t="e">
        <f>IF(AND(F124&lt;$C$125,G124&lt;$D$125),G124-F124,0)</f>
        <v>#REF!</v>
      </c>
      <c r="D128" s="288"/>
      <c r="E128" s="288"/>
    </row>
    <row r="129" spans="2:7" x14ac:dyDescent="0.2">
      <c r="B129" s="288">
        <v>2</v>
      </c>
      <c r="C129" s="288" t="e">
        <f>IF(AND(F124&lt;C125,G124&gt;D125),(D125-F124),0)</f>
        <v>#REF!</v>
      </c>
      <c r="D129" s="288" t="s">
        <v>35</v>
      </c>
      <c r="E129" s="288"/>
    </row>
    <row r="130" spans="2:7" x14ac:dyDescent="0.2">
      <c r="B130" s="288">
        <v>3</v>
      </c>
      <c r="C130" s="288" t="e">
        <f>IF(AND(F124&gt;C125,G124&gt;D125),(D125-C125),0)</f>
        <v>#REF!</v>
      </c>
      <c r="D130" s="288" t="s">
        <v>36</v>
      </c>
      <c r="E130" s="288"/>
    </row>
    <row r="131" spans="2:7" x14ac:dyDescent="0.2">
      <c r="B131" s="291">
        <v>4</v>
      </c>
      <c r="C131" s="291" t="e">
        <f>IF(AND(F124&gt;C125,G124&lt;D125),(G124-$C$125),0)</f>
        <v>#REF!</v>
      </c>
      <c r="D131" s="288" t="s">
        <v>37</v>
      </c>
      <c r="E131" s="288"/>
    </row>
    <row r="132" spans="2:7" x14ac:dyDescent="0.2">
      <c r="B132" s="288"/>
      <c r="C132" s="301" t="e">
        <f>SUM(C128:C131)</f>
        <v>#REF!</v>
      </c>
      <c r="D132" s="288"/>
      <c r="E132" s="288"/>
    </row>
    <row r="133" spans="2:7" x14ac:dyDescent="0.2">
      <c r="C133" s="2"/>
    </row>
    <row r="134" spans="2:7" x14ac:dyDescent="0.2">
      <c r="C134" s="2"/>
    </row>
    <row r="135" spans="2:7" x14ac:dyDescent="0.2">
      <c r="C135" s="2"/>
    </row>
    <row r="136" spans="2:7" x14ac:dyDescent="0.2">
      <c r="C136" s="2"/>
    </row>
    <row r="137" spans="2:7" x14ac:dyDescent="0.2">
      <c r="C137" s="2"/>
    </row>
    <row r="138" spans="2:7" x14ac:dyDescent="0.2">
      <c r="B138" s="2" t="s">
        <v>72</v>
      </c>
    </row>
    <row r="139" spans="2:7" x14ac:dyDescent="0.2">
      <c r="B139" s="180" t="s">
        <v>253</v>
      </c>
      <c r="C139">
        <v>0</v>
      </c>
    </row>
    <row r="140" spans="2:7" x14ac:dyDescent="0.2">
      <c r="B140" t="s">
        <v>73</v>
      </c>
      <c r="C140">
        <v>0</v>
      </c>
    </row>
    <row r="141" spans="2:7" x14ac:dyDescent="0.2">
      <c r="B141" t="s">
        <v>74</v>
      </c>
      <c r="C141">
        <v>0</v>
      </c>
    </row>
    <row r="142" spans="2:7" x14ac:dyDescent="0.2">
      <c r="B142" t="s">
        <v>56</v>
      </c>
      <c r="C142">
        <v>0</v>
      </c>
    </row>
    <row r="143" spans="2:7" x14ac:dyDescent="0.2">
      <c r="C143" s="2" t="e">
        <f>IF(Utslag!#REF!&gt;0,Utslag!#REF!,IF(Utslag!#REF!&lt;0,Utslag!#REF!,IF(Utslag!#REF!&gt;0,Utslag!#REF!,IF(Utslag!#REF!&lt;0,Utslag!#REF!,Utslag!#REF!))))</f>
        <v>#REF!</v>
      </c>
      <c r="E143" s="157" t="s">
        <v>170</v>
      </c>
      <c r="F143" t="s">
        <v>171</v>
      </c>
      <c r="G143" t="s">
        <v>172</v>
      </c>
    </row>
    <row r="144" spans="2:7" x14ac:dyDescent="0.2">
      <c r="B144" t="s">
        <v>75</v>
      </c>
      <c r="C144">
        <f>IF('Ark18'!C11&gt;49,9000,IF('Ark18'!C11&gt;5,'Ark18'!C11*580,0))</f>
        <v>0</v>
      </c>
      <c r="E144">
        <v>580</v>
      </c>
      <c r="F144">
        <v>580</v>
      </c>
      <c r="G144">
        <v>9000</v>
      </c>
    </row>
    <row r="145" spans="1:34" x14ac:dyDescent="0.2">
      <c r="C145" s="2" t="e">
        <f>IF(C143&gt;0,C143,IF(C143&lt;0,C143,C144))</f>
        <v>#REF!</v>
      </c>
    </row>
    <row r="146" spans="1:34" x14ac:dyDescent="0.2">
      <c r="B146" t="s">
        <v>76</v>
      </c>
    </row>
    <row r="147" spans="1:34" x14ac:dyDescent="0.2">
      <c r="C147" s="31" t="e">
        <f>IF(C145&gt;0,C145,IF(C145&lt;0,C145,Utslag!#REF!))</f>
        <v>#REF!</v>
      </c>
      <c r="D147" t="s">
        <v>77</v>
      </c>
    </row>
    <row r="149" spans="1:34" x14ac:dyDescent="0.2">
      <c r="B149" t="s">
        <v>173</v>
      </c>
      <c r="C149" t="e">
        <f>IF(Utslag!#REF!+C144+Utslag!#REF!=0,Utslag!#REF!+Utslag!#REF!,0)</f>
        <v>#REF!</v>
      </c>
    </row>
    <row r="150" spans="1:34" x14ac:dyDescent="0.2">
      <c r="B150" t="s">
        <v>174</v>
      </c>
      <c r="C150" t="e">
        <f>IF(Utslag!#REF!+Utslag!#REF!+C144+Utslag!#REF!=0,Utslag!#REF!,0)</f>
        <v>#REF!</v>
      </c>
    </row>
    <row r="151" spans="1:34" x14ac:dyDescent="0.2">
      <c r="B151" t="s">
        <v>175</v>
      </c>
      <c r="C151" t="e">
        <f>IF(Utslag!#REF!+Utslag!#REF!+Utslag!#REF!+Utslag!#REF!=0,C144,0)</f>
        <v>#REF!</v>
      </c>
    </row>
    <row r="152" spans="1:34" x14ac:dyDescent="0.2">
      <c r="B152" t="s">
        <v>176</v>
      </c>
      <c r="C152" t="e">
        <f>IF(Utslag!#REF!+Utslag!#REF!+Utslag!#REF!+C144=0,Utslag!#REF!,0)</f>
        <v>#REF!</v>
      </c>
    </row>
    <row r="153" spans="1:34" x14ac:dyDescent="0.2">
      <c r="B153" t="s">
        <v>177</v>
      </c>
      <c r="C153" t="e">
        <f>IF(AND(Utslag!#REF!&gt;0,Utslag!#REF!&gt;0),0,Utslag!#REF!)</f>
        <v>#REF!</v>
      </c>
      <c r="F153" s="2"/>
    </row>
    <row r="154" spans="1:34" x14ac:dyDescent="0.2">
      <c r="B154" t="s">
        <v>178</v>
      </c>
      <c r="C154" t="e">
        <f>IF(AND(Utslag!#REF!&gt;0,Utslag!#REF!&gt;0),0,IF(AND('Ark18'!C11&gt;6,'Ark18'!C11&lt;50,'Ark18'!C11*2000),IF('Ark18'!C11&gt;50,80000),0))</f>
        <v>#REF!</v>
      </c>
    </row>
    <row r="158" spans="1:34" ht="16.5" customHeight="1" x14ac:dyDescent="0.25">
      <c r="A158" s="24"/>
      <c r="B158" s="28"/>
      <c r="C158" s="25"/>
      <c r="D158" s="10"/>
      <c r="E158" s="10"/>
      <c r="F158" s="10"/>
      <c r="G158" s="10"/>
      <c r="H158" s="10"/>
      <c r="I158" s="2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 customHeight="1" x14ac:dyDescent="0.25">
      <c r="A159" s="24"/>
      <c r="B159" s="28"/>
      <c r="C159" s="25"/>
      <c r="D159" s="10"/>
      <c r="E159" s="10"/>
      <c r="F159" s="10"/>
      <c r="G159" s="10"/>
      <c r="H159" s="10"/>
      <c r="I159" s="2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1" spans="1:34" ht="16.5" customHeight="1" x14ac:dyDescent="0.25">
      <c r="A161" s="24"/>
      <c r="B161" s="28"/>
      <c r="C161" s="25"/>
      <c r="D161" s="10"/>
      <c r="E161" s="10"/>
      <c r="F161" s="10"/>
      <c r="G161" s="10"/>
      <c r="H161" s="10"/>
      <c r="I161" s="2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 customHeight="1" x14ac:dyDescent="0.25">
      <c r="A162" s="24"/>
      <c r="B162" s="28"/>
      <c r="C162" s="25"/>
      <c r="D162" s="10"/>
      <c r="E162" s="10"/>
      <c r="F162" s="10"/>
      <c r="G162" s="10"/>
      <c r="H162" s="10"/>
      <c r="I162" s="2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 customHeight="1" x14ac:dyDescent="0.25">
      <c r="A163" s="24"/>
      <c r="B163" s="28"/>
      <c r="C163" s="25"/>
      <c r="D163" s="10"/>
      <c r="E163" s="10"/>
      <c r="F163" s="10"/>
      <c r="G163" s="10"/>
      <c r="H163" s="10"/>
      <c r="I163" s="2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5" spans="1:34" ht="16.5" customHeight="1" x14ac:dyDescent="0.25">
      <c r="A165" s="24"/>
      <c r="B165" s="28"/>
      <c r="C165" s="25"/>
      <c r="D165" s="10"/>
      <c r="E165" s="10"/>
      <c r="F165" s="10"/>
      <c r="G165" s="10"/>
      <c r="H165" s="10"/>
      <c r="I165" s="2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5.75" customHeight="1" x14ac:dyDescent="0.25">
      <c r="A166" s="24"/>
      <c r="B166" s="27"/>
      <c r="C166" s="25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5" x14ac:dyDescent="0.25">
      <c r="A167" s="24"/>
      <c r="B167" s="23"/>
      <c r="C167" s="25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71" spans="1:34" x14ac:dyDescent="0.2">
      <c r="B171" t="s">
        <v>151</v>
      </c>
      <c r="C171" t="s">
        <v>27</v>
      </c>
      <c r="D171" t="s">
        <v>154</v>
      </c>
      <c r="E171" s="180" t="s">
        <v>255</v>
      </c>
      <c r="G171" t="s">
        <v>30</v>
      </c>
    </row>
    <row r="173" spans="1:34" x14ac:dyDescent="0.2">
      <c r="B173" t="s">
        <v>62</v>
      </c>
      <c r="C173" s="156">
        <v>1275</v>
      </c>
      <c r="D173" s="156">
        <v>1425</v>
      </c>
      <c r="E173" s="285">
        <f>D173-C173</f>
        <v>150</v>
      </c>
      <c r="G173">
        <f>E173*(Utslag!B36+Utslag!B37+Utslag!B38)</f>
        <v>0</v>
      </c>
      <c r="I173">
        <f>IF(Utslag!$B$6="Nei",0,Satser!$G$184)</f>
        <v>0</v>
      </c>
    </row>
    <row r="174" spans="1:34" x14ac:dyDescent="0.2">
      <c r="B174" t="s">
        <v>38</v>
      </c>
      <c r="C174" s="156">
        <v>500</v>
      </c>
      <c r="D174" s="156">
        <v>600</v>
      </c>
      <c r="E174" s="285">
        <f t="shared" ref="E174:E183" si="9">D174-C174</f>
        <v>100</v>
      </c>
      <c r="G174">
        <f>E174*Utslag!B35</f>
        <v>0</v>
      </c>
    </row>
    <row r="175" spans="1:34" x14ac:dyDescent="0.2">
      <c r="B175" t="s">
        <v>48</v>
      </c>
      <c r="C175" s="156">
        <v>300</v>
      </c>
      <c r="D175" s="156">
        <v>300</v>
      </c>
      <c r="E175" s="285">
        <f t="shared" si="9"/>
        <v>0</v>
      </c>
      <c r="G175">
        <f>E175*Utslag!B34</f>
        <v>0</v>
      </c>
    </row>
    <row r="176" spans="1:34" x14ac:dyDescent="0.2">
      <c r="B176" t="s">
        <v>47</v>
      </c>
      <c r="C176" s="156">
        <v>25</v>
      </c>
      <c r="D176" s="156">
        <v>25</v>
      </c>
      <c r="E176" s="285">
        <f t="shared" si="9"/>
        <v>0</v>
      </c>
      <c r="G176">
        <f>E176*(Utslag!B33+Utslag!B32*0.6)</f>
        <v>0</v>
      </c>
    </row>
    <row r="177" spans="2:8" x14ac:dyDescent="0.2">
      <c r="B177" t="s">
        <v>168</v>
      </c>
      <c r="C177" s="156">
        <v>2800</v>
      </c>
      <c r="D177" s="156">
        <v>3000</v>
      </c>
      <c r="E177" s="285">
        <f t="shared" si="9"/>
        <v>200</v>
      </c>
      <c r="G177">
        <f>E177*Utslag!B40</f>
        <v>0</v>
      </c>
    </row>
    <row r="178" spans="2:8" x14ac:dyDescent="0.2">
      <c r="B178" t="s">
        <v>16</v>
      </c>
      <c r="C178" s="156">
        <v>2000</v>
      </c>
      <c r="D178" s="156">
        <v>2200</v>
      </c>
      <c r="E178" s="285">
        <f t="shared" si="9"/>
        <v>200</v>
      </c>
      <c r="G178">
        <f>E178*Utslag!B41</f>
        <v>0</v>
      </c>
    </row>
    <row r="179" spans="2:8" x14ac:dyDescent="0.2">
      <c r="B179" t="s">
        <v>152</v>
      </c>
      <c r="C179" s="156">
        <v>600</v>
      </c>
      <c r="D179" s="156">
        <v>700</v>
      </c>
      <c r="E179" s="285">
        <f t="shared" si="9"/>
        <v>100</v>
      </c>
      <c r="G179">
        <f>E179*Utslag!B42</f>
        <v>0</v>
      </c>
    </row>
    <row r="180" spans="2:8" x14ac:dyDescent="0.2">
      <c r="B180" t="s">
        <v>169</v>
      </c>
      <c r="C180" s="156">
        <v>450</v>
      </c>
      <c r="D180" s="156">
        <v>500</v>
      </c>
      <c r="E180" s="285">
        <f t="shared" si="9"/>
        <v>50</v>
      </c>
      <c r="G180">
        <f>E180*Utslag!B44</f>
        <v>0</v>
      </c>
    </row>
    <row r="181" spans="2:8" x14ac:dyDescent="0.2">
      <c r="B181" t="s">
        <v>153</v>
      </c>
      <c r="C181" s="156">
        <v>402</v>
      </c>
      <c r="D181" s="156">
        <v>502</v>
      </c>
      <c r="E181" s="285">
        <f t="shared" si="9"/>
        <v>100</v>
      </c>
      <c r="G181">
        <f>E181*Utslag!B45</f>
        <v>0</v>
      </c>
    </row>
    <row r="182" spans="2:8" x14ac:dyDescent="0.2">
      <c r="B182" t="s">
        <v>11</v>
      </c>
      <c r="C182" s="156">
        <v>260</v>
      </c>
      <c r="D182" s="156">
        <v>300</v>
      </c>
      <c r="E182" s="285">
        <f t="shared" si="9"/>
        <v>40</v>
      </c>
      <c r="F182" s="18"/>
      <c r="G182">
        <f>E182*Utslag!B46</f>
        <v>0</v>
      </c>
      <c r="H182" s="20"/>
    </row>
    <row r="183" spans="2:8" x14ac:dyDescent="0.2">
      <c r="B183" t="s">
        <v>7</v>
      </c>
      <c r="C183" s="156">
        <v>200</v>
      </c>
      <c r="D183" s="156">
        <v>250</v>
      </c>
      <c r="E183" s="285">
        <f t="shared" si="9"/>
        <v>50</v>
      </c>
      <c r="F183" s="18"/>
      <c r="G183">
        <f>E183*Utslag!B43</f>
        <v>0</v>
      </c>
      <c r="H183" s="20"/>
    </row>
    <row r="184" spans="2:8" x14ac:dyDescent="0.2">
      <c r="D184" s="5"/>
      <c r="E184" s="1"/>
      <c r="F184" s="18" t="s">
        <v>156</v>
      </c>
      <c r="G184" s="19">
        <f>SUM(G173:G183)</f>
        <v>0</v>
      </c>
      <c r="H184" s="19"/>
    </row>
    <row r="185" spans="2:8" x14ac:dyDescent="0.2">
      <c r="D185" s="5"/>
      <c r="E185" s="1"/>
      <c r="F185" s="18"/>
      <c r="G185" s="19"/>
      <c r="H185" s="20">
        <f>H184+G184</f>
        <v>0</v>
      </c>
    </row>
    <row r="186" spans="2:8" x14ac:dyDescent="0.2">
      <c r="D186" s="5"/>
      <c r="E186" s="1"/>
      <c r="F186" s="18"/>
      <c r="G186" s="19"/>
      <c r="H186" s="20"/>
    </row>
    <row r="187" spans="2:8" x14ac:dyDescent="0.2">
      <c r="D187" s="1"/>
      <c r="E187" s="1"/>
      <c r="F187" s="7"/>
    </row>
    <row r="188" spans="2:8" x14ac:dyDescent="0.2">
      <c r="C188" t="s">
        <v>180</v>
      </c>
      <c r="D188" s="158" t="s">
        <v>163</v>
      </c>
      <c r="E188" s="158" t="s">
        <v>56</v>
      </c>
      <c r="F188" s="158" t="s">
        <v>16</v>
      </c>
      <c r="G188" s="158" t="s">
        <v>179</v>
      </c>
    </row>
    <row r="189" spans="2:8" x14ac:dyDescent="0.2">
      <c r="C189" t="s">
        <v>181</v>
      </c>
      <c r="D189">
        <f>D190/5</f>
        <v>24400</v>
      </c>
      <c r="E189" s="7">
        <f>130000/27</f>
        <v>4814.8148148148148</v>
      </c>
      <c r="F189">
        <v>0</v>
      </c>
      <c r="G189">
        <v>0</v>
      </c>
    </row>
    <row r="190" spans="2:8" x14ac:dyDescent="0.2">
      <c r="C190" t="s">
        <v>182</v>
      </c>
      <c r="D190">
        <f>IF(Utslag!B4&gt;5,130000,IF(Utslag!B4=2,115000,122000))</f>
        <v>122000</v>
      </c>
      <c r="E190">
        <v>130000</v>
      </c>
      <c r="F190">
        <v>0</v>
      </c>
      <c r="G190">
        <v>0</v>
      </c>
    </row>
    <row r="191" spans="2:8" x14ac:dyDescent="0.2">
      <c r="C191" t="s">
        <v>183</v>
      </c>
    </row>
    <row r="192" spans="2:8" x14ac:dyDescent="0.2">
      <c r="C192" t="s">
        <v>181</v>
      </c>
      <c r="D192">
        <f>IF(Utslag!B4&lt;6,25000,24800)</f>
        <v>25000</v>
      </c>
      <c r="E192" s="7">
        <f>133000/27</f>
        <v>4925.9259259259261</v>
      </c>
      <c r="F192">
        <v>0</v>
      </c>
      <c r="G192">
        <v>0</v>
      </c>
    </row>
    <row r="193" spans="2:11" x14ac:dyDescent="0.2">
      <c r="C193" t="s">
        <v>182</v>
      </c>
      <c r="D193">
        <f>IF(Utslag!B4&gt;5,133000,IF(Utslag!B4=2,118000,125000))</f>
        <v>125000</v>
      </c>
      <c r="E193">
        <v>133000</v>
      </c>
      <c r="F193">
        <v>0</v>
      </c>
      <c r="G193">
        <v>0</v>
      </c>
    </row>
    <row r="195" spans="2:11" x14ac:dyDescent="0.2">
      <c r="C195" t="s">
        <v>184</v>
      </c>
    </row>
    <row r="196" spans="2:11" x14ac:dyDescent="0.2">
      <c r="C196" t="s">
        <v>180</v>
      </c>
      <c r="D196">
        <f>IF('Ark18'!$C$10&lt;5,'Ark18'!$C$10*Satser!D$189,Satser!D$190)</f>
        <v>0</v>
      </c>
      <c r="E196">
        <f>IF('Ark18'!$C$13&lt;27,'Ark18'!$C$13*Satser!E$189,Satser!E$190)</f>
        <v>0</v>
      </c>
      <c r="F196">
        <f>IF('Ark18'!$C$11&lt;6,0,IF('Ark18'!$C$11&lt;50,'Ark18'!$C$11*Satser!F$189,Satser!F$190))</f>
        <v>0</v>
      </c>
      <c r="G196">
        <f>IF('Ark18'!$C$14&lt;10,0,IF('Ark18'!$C$14&lt;50,'Ark18'!$C$14*Satser!G$189,Satser!G$190))</f>
        <v>0</v>
      </c>
      <c r="H196">
        <f>MAX(D196:G196)</f>
        <v>0</v>
      </c>
    </row>
    <row r="197" spans="2:11" x14ac:dyDescent="0.2">
      <c r="C197" t="s">
        <v>185</v>
      </c>
      <c r="D197">
        <f>IF('Ark18'!$C$10&lt;5,'Ark18'!$C$10*Satser!D$192,Satser!D$193)</f>
        <v>0</v>
      </c>
      <c r="E197">
        <f>IF('Ark18'!$C$13&lt;27,'Ark18'!$C$13*Satser!E$192,Satser!E$193)</f>
        <v>0</v>
      </c>
      <c r="F197">
        <f>IF('Ark18'!$C$11&lt;6,0,IF('Ark18'!$C$11&lt;50,'Ark18'!$C$11*Satser!F$192,Satser!F$193))</f>
        <v>0</v>
      </c>
      <c r="G197">
        <f>IF('Ark18'!$C$14&lt;10,0,IF('Ark18'!$C$14&lt;50,'Ark18'!$C$14*Satser!G$192,Satser!G$193))</f>
        <v>0</v>
      </c>
      <c r="H197">
        <f>MAX(D197:G197)</f>
        <v>0</v>
      </c>
    </row>
    <row r="198" spans="2:11" x14ac:dyDescent="0.2">
      <c r="C198" t="s">
        <v>186</v>
      </c>
      <c r="D198">
        <f>IF($H$197=D197,0,D197)</f>
        <v>0</v>
      </c>
      <c r="E198">
        <f>IF($H$197=E197,0,E197)</f>
        <v>0</v>
      </c>
      <c r="F198">
        <f>IF($H$197=F197,0,F197)</f>
        <v>0</v>
      </c>
      <c r="G198">
        <f>IF($H$197=G197,0,G197)</f>
        <v>0</v>
      </c>
      <c r="H198">
        <f>MAX(D198:G198)</f>
        <v>0</v>
      </c>
    </row>
    <row r="199" spans="2:11" x14ac:dyDescent="0.2">
      <c r="C199" s="64" t="s">
        <v>187</v>
      </c>
      <c r="D199" s="64"/>
      <c r="E199" s="64"/>
      <c r="F199" s="64"/>
      <c r="G199" s="64"/>
      <c r="H199" s="64">
        <f>SUM(H197:H198)-H196</f>
        <v>0</v>
      </c>
    </row>
    <row r="202" spans="2:11" x14ac:dyDescent="0.2">
      <c r="H202" s="180" t="s">
        <v>196</v>
      </c>
      <c r="J202" s="180" t="s">
        <v>197</v>
      </c>
      <c r="K202">
        <v>3</v>
      </c>
    </row>
    <row r="203" spans="2:11" x14ac:dyDescent="0.2">
      <c r="G203" s="180" t="s">
        <v>163</v>
      </c>
      <c r="H203" s="181">
        <v>3600</v>
      </c>
      <c r="I203" s="181">
        <v>18000</v>
      </c>
      <c r="J203" s="181">
        <v>0</v>
      </c>
      <c r="K203" s="181">
        <v>0</v>
      </c>
    </row>
    <row r="204" spans="2:11" x14ac:dyDescent="0.2">
      <c r="G204" s="180" t="s">
        <v>56</v>
      </c>
      <c r="H204" s="181">
        <v>667</v>
      </c>
      <c r="I204" s="181">
        <v>18000</v>
      </c>
      <c r="J204" s="181"/>
      <c r="K204" s="181"/>
    </row>
    <row r="205" spans="2:11" x14ac:dyDescent="0.2">
      <c r="G205" s="180" t="s">
        <v>16</v>
      </c>
      <c r="H205" s="181">
        <v>360</v>
      </c>
      <c r="I205" s="181">
        <v>18000</v>
      </c>
      <c r="J205" s="181"/>
      <c r="K205" s="181"/>
    </row>
    <row r="207" spans="2:11" ht="15" x14ac:dyDescent="0.25">
      <c r="B207" s="303" t="s">
        <v>193</v>
      </c>
      <c r="C207" s="168">
        <v>39630</v>
      </c>
      <c r="D207" s="168">
        <v>39448</v>
      </c>
      <c r="G207" s="180" t="s">
        <v>163</v>
      </c>
      <c r="H207">
        <f>H199</f>
        <v>0</v>
      </c>
    </row>
    <row r="208" spans="2:11" x14ac:dyDescent="0.2">
      <c r="B208" s="127" t="s">
        <v>163</v>
      </c>
      <c r="C208" s="128">
        <v>0.05</v>
      </c>
      <c r="D208" s="169">
        <v>0</v>
      </c>
      <c r="G208" s="180" t="s">
        <v>16</v>
      </c>
      <c r="H208" s="182">
        <f>IF('Ark18'!C11&lt;6,0,IF('Ark18'!C11&lt;40,25*'Ark18'!C11,IF('Ark18'!C11&lt;40,0*'Ark18'!C11+1000,1000)))</f>
        <v>0</v>
      </c>
    </row>
    <row r="209" spans="2:11" x14ac:dyDescent="0.2">
      <c r="B209" s="131" t="s">
        <v>6</v>
      </c>
      <c r="C209" s="132">
        <v>0</v>
      </c>
      <c r="D209" s="169">
        <v>0</v>
      </c>
      <c r="G209" s="180"/>
    </row>
    <row r="210" spans="2:11" x14ac:dyDescent="0.2">
      <c r="B210" s="131" t="s">
        <v>79</v>
      </c>
      <c r="C210" s="132">
        <v>0.09</v>
      </c>
      <c r="D210" s="169">
        <v>0</v>
      </c>
    </row>
    <row r="211" spans="2:11" x14ac:dyDescent="0.2">
      <c r="B211" s="131" t="s">
        <v>134</v>
      </c>
      <c r="C211" s="132">
        <v>0</v>
      </c>
      <c r="D211" s="169"/>
    </row>
    <row r="212" spans="2:11" x14ac:dyDescent="0.2">
      <c r="B212" s="131" t="s">
        <v>81</v>
      </c>
      <c r="C212" s="132">
        <v>0</v>
      </c>
      <c r="D212" s="169">
        <v>0</v>
      </c>
    </row>
    <row r="213" spans="2:11" x14ac:dyDescent="0.2">
      <c r="B213" s="179" t="s">
        <v>264</v>
      </c>
      <c r="C213" s="302">
        <v>0.09</v>
      </c>
      <c r="D213" s="169">
        <v>0</v>
      </c>
    </row>
    <row r="214" spans="2:11" x14ac:dyDescent="0.2">
      <c r="B214" s="179" t="s">
        <v>265</v>
      </c>
      <c r="C214" s="302">
        <v>0</v>
      </c>
      <c r="D214" s="169"/>
    </row>
    <row r="215" spans="2:11" x14ac:dyDescent="0.2">
      <c r="B215" s="179" t="s">
        <v>266</v>
      </c>
      <c r="C215" s="302">
        <v>7.0000000000000007E-2</v>
      </c>
      <c r="D215" s="169"/>
    </row>
    <row r="216" spans="2:11" x14ac:dyDescent="0.2">
      <c r="B216" s="179" t="s">
        <v>51</v>
      </c>
      <c r="C216" s="239">
        <v>7.0000000000000007E-2</v>
      </c>
      <c r="D216" s="169"/>
    </row>
    <row r="217" spans="2:11" x14ac:dyDescent="0.2">
      <c r="B217" s="131" t="s">
        <v>167</v>
      </c>
      <c r="C217" s="132">
        <v>0.06</v>
      </c>
      <c r="D217" s="169"/>
      <c r="F217" s="78" t="s">
        <v>118</v>
      </c>
      <c r="G217" s="48"/>
      <c r="H217" s="49"/>
      <c r="I217" s="50"/>
      <c r="J217" s="50"/>
      <c r="K217" s="87"/>
    </row>
    <row r="218" spans="2:11" x14ac:dyDescent="0.2">
      <c r="B218" s="131" t="s">
        <v>69</v>
      </c>
      <c r="C218" s="132">
        <v>7.0000000000000007E-2</v>
      </c>
      <c r="D218" s="169"/>
      <c r="F218" s="73" t="s">
        <v>119</v>
      </c>
      <c r="G218" s="15"/>
      <c r="H218" s="167"/>
      <c r="I218" s="165">
        <f>'Ark18'!C20</f>
        <v>0</v>
      </c>
      <c r="J218" s="17">
        <f>G218*I218</f>
        <v>0</v>
      </c>
      <c r="K218" s="88">
        <f>H218*I218</f>
        <v>0</v>
      </c>
    </row>
    <row r="219" spans="2:11" x14ac:dyDescent="0.2">
      <c r="B219" s="131" t="s">
        <v>80</v>
      </c>
      <c r="C219" s="132">
        <v>0</v>
      </c>
      <c r="D219" s="169">
        <v>0</v>
      </c>
      <c r="F219" s="73" t="s">
        <v>148</v>
      </c>
      <c r="G219" s="15">
        <v>500</v>
      </c>
      <c r="H219" s="167">
        <v>500</v>
      </c>
      <c r="I219" s="17">
        <v>0</v>
      </c>
      <c r="J219" s="17">
        <f>G219*I219</f>
        <v>0</v>
      </c>
      <c r="K219" s="88">
        <f>H219*I219</f>
        <v>0</v>
      </c>
    </row>
    <row r="220" spans="2:11" x14ac:dyDescent="0.2">
      <c r="B220" s="131" t="s">
        <v>38</v>
      </c>
      <c r="C220" s="132">
        <v>0.15</v>
      </c>
      <c r="D220" s="169">
        <v>0</v>
      </c>
      <c r="F220" s="74" t="s">
        <v>121</v>
      </c>
      <c r="G220" s="14">
        <v>300</v>
      </c>
      <c r="H220" s="30">
        <v>300</v>
      </c>
      <c r="I220" s="9"/>
      <c r="J220" s="9"/>
      <c r="K220" s="75"/>
    </row>
    <row r="221" spans="2:11" x14ac:dyDescent="0.2">
      <c r="B221" s="179" t="s">
        <v>143</v>
      </c>
      <c r="C221" s="185">
        <v>2.5000000000000001E-2</v>
      </c>
      <c r="D221" s="170">
        <v>0</v>
      </c>
    </row>
    <row r="222" spans="2:11" x14ac:dyDescent="0.2">
      <c r="B222" s="179" t="s">
        <v>62</v>
      </c>
      <c r="C222" s="134">
        <v>2.5000000000000001E-2</v>
      </c>
      <c r="D222" s="170">
        <v>0</v>
      </c>
    </row>
    <row r="226" spans="2:4" x14ac:dyDescent="0.2">
      <c r="B226" t="s">
        <v>195</v>
      </c>
      <c r="C226">
        <v>0</v>
      </c>
    </row>
    <row r="228" spans="2:4" x14ac:dyDescent="0.2">
      <c r="B228" t="s">
        <v>78</v>
      </c>
      <c r="C228">
        <v>0</v>
      </c>
    </row>
    <row r="232" spans="2:4" x14ac:dyDescent="0.2">
      <c r="C232">
        <f>1.5</f>
        <v>1.5</v>
      </c>
    </row>
    <row r="233" spans="2:4" x14ac:dyDescent="0.2">
      <c r="C233">
        <v>26.22</v>
      </c>
    </row>
    <row r="234" spans="2:4" x14ac:dyDescent="0.2">
      <c r="C234">
        <f>C232/C233</f>
        <v>5.7208237986270026E-2</v>
      </c>
    </row>
    <row r="239" spans="2:4" x14ac:dyDescent="0.2">
      <c r="B239" s="140" t="s">
        <v>115</v>
      </c>
      <c r="C239" s="163"/>
      <c r="D239" s="133" t="s">
        <v>5</v>
      </c>
    </row>
    <row r="241" spans="2:3" x14ac:dyDescent="0.2">
      <c r="C241" s="180"/>
    </row>
    <row r="242" spans="2:3" x14ac:dyDescent="0.2">
      <c r="B242" s="180"/>
    </row>
    <row r="243" spans="2:3" x14ac:dyDescent="0.2">
      <c r="B243" s="180"/>
    </row>
    <row r="244" spans="2:3" x14ac:dyDescent="0.2">
      <c r="B244" s="183"/>
    </row>
    <row r="245" spans="2:3" x14ac:dyDescent="0.2">
      <c r="B245" s="183"/>
    </row>
    <row r="246" spans="2:3" x14ac:dyDescent="0.2">
      <c r="B246" s="183"/>
    </row>
    <row r="247" spans="2:3" x14ac:dyDescent="0.2">
      <c r="B247" s="183"/>
    </row>
    <row r="248" spans="2:3" x14ac:dyDescent="0.2">
      <c r="B248" s="183"/>
    </row>
    <row r="249" spans="2:3" x14ac:dyDescent="0.2">
      <c r="B249" s="183"/>
    </row>
    <row r="250" spans="2:3" x14ac:dyDescent="0.2">
      <c r="B250" s="183"/>
    </row>
    <row r="251" spans="2:3" x14ac:dyDescent="0.2">
      <c r="B251" s="183"/>
    </row>
    <row r="252" spans="2:3" x14ac:dyDescent="0.2">
      <c r="B252" s="183"/>
    </row>
    <row r="253" spans="2:3" x14ac:dyDescent="0.2">
      <c r="B253" s="183"/>
    </row>
    <row r="254" spans="2:3" x14ac:dyDescent="0.2">
      <c r="B254" s="183"/>
    </row>
    <row r="255" spans="2:3" x14ac:dyDescent="0.2">
      <c r="B255" s="183"/>
    </row>
    <row r="256" spans="2:3" x14ac:dyDescent="0.2">
      <c r="B256" s="183"/>
    </row>
    <row r="257" spans="2:2" x14ac:dyDescent="0.2">
      <c r="B257" s="183"/>
    </row>
    <row r="258" spans="2:2" x14ac:dyDescent="0.2">
      <c r="B258" s="183"/>
    </row>
    <row r="259" spans="2:2" x14ac:dyDescent="0.2">
      <c r="B259" s="183"/>
    </row>
    <row r="260" spans="2:2" x14ac:dyDescent="0.2">
      <c r="B260" s="183"/>
    </row>
    <row r="261" spans="2:2" x14ac:dyDescent="0.2">
      <c r="B261" s="183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99" t="s">
        <v>143</v>
      </c>
      <c r="C6" s="238"/>
      <c r="D6" s="196" t="s">
        <v>3</v>
      </c>
    </row>
    <row r="7" spans="2:4" ht="15" x14ac:dyDescent="0.25">
      <c r="B7" s="199" t="s">
        <v>141</v>
      </c>
      <c r="C7" s="233"/>
      <c r="D7" s="196" t="s">
        <v>3</v>
      </c>
    </row>
    <row r="8" spans="2:4" ht="15" x14ac:dyDescent="0.25">
      <c r="B8" s="199" t="s">
        <v>51</v>
      </c>
      <c r="C8" s="238"/>
      <c r="D8" s="196" t="s">
        <v>3</v>
      </c>
    </row>
    <row r="9" spans="2:4" ht="15" x14ac:dyDescent="0.25">
      <c r="B9" s="199" t="s">
        <v>50</v>
      </c>
      <c r="C9" s="238"/>
      <c r="D9" s="196" t="s">
        <v>3</v>
      </c>
    </row>
    <row r="10" spans="2:4" ht="15" x14ac:dyDescent="0.25">
      <c r="B10" s="199" t="s">
        <v>4</v>
      </c>
      <c r="C10" s="237"/>
      <c r="D10" s="196" t="s">
        <v>5</v>
      </c>
    </row>
    <row r="11" spans="2:4" ht="15" x14ac:dyDescent="0.25">
      <c r="B11" s="199" t="s">
        <v>188</v>
      </c>
      <c r="C11" s="237"/>
      <c r="D11" s="196" t="s">
        <v>5</v>
      </c>
    </row>
    <row r="12" spans="2:4" ht="15" x14ac:dyDescent="0.25">
      <c r="B12" s="199" t="s">
        <v>6</v>
      </c>
      <c r="C12" s="237"/>
      <c r="D12" s="196" t="s">
        <v>5</v>
      </c>
    </row>
    <row r="13" spans="2:4" ht="15" x14ac:dyDescent="0.25">
      <c r="B13" s="199" t="s">
        <v>65</v>
      </c>
      <c r="C13" s="237"/>
      <c r="D13" s="196" t="s">
        <v>5</v>
      </c>
    </row>
    <row r="14" spans="2:4" ht="15" x14ac:dyDescent="0.25">
      <c r="B14" s="199" t="s">
        <v>169</v>
      </c>
      <c r="C14" s="237"/>
      <c r="D14" s="196" t="s">
        <v>5</v>
      </c>
    </row>
    <row r="15" spans="2:4" ht="15" x14ac:dyDescent="0.25">
      <c r="B15" s="199" t="s">
        <v>216</v>
      </c>
      <c r="C15" s="237"/>
      <c r="D15" s="196" t="s">
        <v>5</v>
      </c>
    </row>
    <row r="16" spans="2:4" ht="15" x14ac:dyDescent="0.25">
      <c r="B16" s="199" t="s">
        <v>210</v>
      </c>
      <c r="C16" s="237"/>
      <c r="D16" s="196" t="s">
        <v>5</v>
      </c>
    </row>
    <row r="17" spans="2:4" ht="15" x14ac:dyDescent="0.25">
      <c r="B17" s="194" t="s">
        <v>132</v>
      </c>
      <c r="C17" s="206"/>
      <c r="D17" s="196"/>
    </row>
    <row r="18" spans="2:4" ht="15" x14ac:dyDescent="0.25">
      <c r="B18" s="199" t="s">
        <v>161</v>
      </c>
      <c r="C18" s="233"/>
      <c r="D18" s="196" t="s">
        <v>5</v>
      </c>
    </row>
    <row r="19" spans="2:4" ht="15" x14ac:dyDescent="0.25">
      <c r="B19" s="200" t="s">
        <v>162</v>
      </c>
      <c r="C19" s="201"/>
      <c r="D19" s="198" t="s">
        <v>5</v>
      </c>
    </row>
    <row r="20" spans="2:4" ht="15" x14ac:dyDescent="0.25">
      <c r="B20" s="199" t="s">
        <v>192</v>
      </c>
      <c r="C20" s="233"/>
      <c r="D20" s="196" t="s">
        <v>59</v>
      </c>
    </row>
    <row r="21" spans="2:4" ht="15" x14ac:dyDescent="0.25">
      <c r="B21" s="200" t="s">
        <v>127</v>
      </c>
      <c r="C21" s="247"/>
      <c r="D21" s="198" t="s">
        <v>5</v>
      </c>
    </row>
    <row r="22" spans="2:4" ht="15" x14ac:dyDescent="0.25">
      <c r="B22" s="242" t="s">
        <v>150</v>
      </c>
      <c r="C22" s="205"/>
      <c r="D22" s="245" t="s">
        <v>2</v>
      </c>
    </row>
    <row r="23" spans="2:4" ht="15" x14ac:dyDescent="0.25">
      <c r="B23" s="194" t="s">
        <v>159</v>
      </c>
      <c r="C23" s="195"/>
      <c r="D23" s="196"/>
    </row>
    <row r="24" spans="2:4" ht="15" x14ac:dyDescent="0.25">
      <c r="B24" s="194" t="s">
        <v>200</v>
      </c>
      <c r="C24" s="195" t="s">
        <v>215</v>
      </c>
      <c r="D24" s="196"/>
    </row>
    <row r="25" spans="2:4" ht="15" x14ac:dyDescent="0.25">
      <c r="B25" s="197" t="s">
        <v>158</v>
      </c>
      <c r="C25" s="227"/>
      <c r="D25" s="198"/>
    </row>
    <row r="29" spans="2:4" x14ac:dyDescent="0.2">
      <c r="B29" s="164"/>
      <c r="C29" s="164"/>
      <c r="D29" s="164"/>
    </row>
    <row r="30" spans="2:4" x14ac:dyDescent="0.2">
      <c r="B30" s="164"/>
      <c r="C30" s="164"/>
      <c r="D30" s="164"/>
    </row>
    <row r="31" spans="2:4" x14ac:dyDescent="0.2">
      <c r="B31" s="164"/>
      <c r="C31" s="164"/>
      <c r="D31" s="164"/>
    </row>
    <row r="32" spans="2:4" ht="15.75" thickBot="1" x14ac:dyDescent="0.3">
      <c r="B32" s="249" t="s">
        <v>231</v>
      </c>
      <c r="C32" s="250"/>
      <c r="D32" s="251"/>
    </row>
    <row r="33" spans="2:4" x14ac:dyDescent="0.2">
      <c r="B33" s="246"/>
      <c r="C33" s="246"/>
      <c r="D33" s="246"/>
    </row>
    <row r="34" spans="2:4" x14ac:dyDescent="0.2">
      <c r="B34" s="246"/>
      <c r="C34" s="246"/>
      <c r="D34" s="246"/>
    </row>
    <row r="35" spans="2:4" x14ac:dyDescent="0.2">
      <c r="B35" s="246"/>
      <c r="C35" s="246"/>
      <c r="D35" s="246"/>
    </row>
    <row r="36" spans="2:4" x14ac:dyDescent="0.2">
      <c r="B36" s="246"/>
      <c r="C36" s="246"/>
      <c r="D36" s="246"/>
    </row>
    <row r="37" spans="2:4" x14ac:dyDescent="0.2">
      <c r="B37" s="246"/>
      <c r="C37" s="246"/>
      <c r="D37" s="246"/>
    </row>
    <row r="38" spans="2:4" x14ac:dyDescent="0.2">
      <c r="B38" s="246"/>
      <c r="C38" s="246"/>
      <c r="D38" s="246"/>
    </row>
    <row r="39" spans="2:4" x14ac:dyDescent="0.2">
      <c r="B39" s="164"/>
      <c r="C39" s="164"/>
      <c r="D39" s="164"/>
    </row>
    <row r="40" spans="2:4" ht="15" x14ac:dyDescent="0.25">
      <c r="B40" s="199" t="s">
        <v>143</v>
      </c>
      <c r="C40" s="238"/>
      <c r="D40" s="196" t="s">
        <v>3</v>
      </c>
    </row>
    <row r="41" spans="2:4" ht="15" x14ac:dyDescent="0.25">
      <c r="B41" s="199" t="s">
        <v>141</v>
      </c>
      <c r="C41" s="233"/>
      <c r="D41" s="196" t="s">
        <v>3</v>
      </c>
    </row>
    <row r="42" spans="2:4" ht="15" x14ac:dyDescent="0.25">
      <c r="B42" s="199" t="s">
        <v>51</v>
      </c>
      <c r="C42" s="238"/>
      <c r="D42" s="196" t="s">
        <v>3</v>
      </c>
    </row>
    <row r="43" spans="2:4" ht="15" x14ac:dyDescent="0.25">
      <c r="B43" s="199" t="s">
        <v>50</v>
      </c>
      <c r="C43" s="238"/>
      <c r="D43" s="196" t="s">
        <v>3</v>
      </c>
    </row>
    <row r="44" spans="2:4" x14ac:dyDescent="0.2">
      <c r="B44" s="164"/>
      <c r="C44" s="164"/>
      <c r="D44" s="164"/>
    </row>
    <row r="45" spans="2:4" x14ac:dyDescent="0.2">
      <c r="B45" s="164"/>
      <c r="C45" s="164"/>
      <c r="D45" s="164"/>
    </row>
    <row r="46" spans="2:4" x14ac:dyDescent="0.2">
      <c r="B46" s="164"/>
      <c r="C46" s="164"/>
      <c r="D46" s="164"/>
    </row>
    <row r="47" spans="2:4" x14ac:dyDescent="0.2">
      <c r="B47" s="164"/>
      <c r="C47" s="164"/>
      <c r="D47" s="164"/>
    </row>
    <row r="48" spans="2:4" x14ac:dyDescent="0.2">
      <c r="B48" s="164"/>
      <c r="C48" s="164"/>
      <c r="D48" s="164"/>
    </row>
    <row r="49" spans="2:4" ht="15" x14ac:dyDescent="0.25">
      <c r="B49" s="199" t="s">
        <v>216</v>
      </c>
      <c r="C49" s="237"/>
      <c r="D49" s="196" t="s">
        <v>5</v>
      </c>
    </row>
    <row r="50" spans="2:4" ht="15" x14ac:dyDescent="0.25">
      <c r="B50" s="199" t="s">
        <v>210</v>
      </c>
      <c r="C50" s="237"/>
      <c r="D50" s="196" t="s">
        <v>5</v>
      </c>
    </row>
    <row r="51" spans="2:4" ht="15" x14ac:dyDescent="0.25">
      <c r="B51" s="194" t="s">
        <v>132</v>
      </c>
      <c r="C51" s="206"/>
      <c r="D51" s="196"/>
    </row>
    <row r="52" spans="2:4" ht="15" x14ac:dyDescent="0.25">
      <c r="B52" s="199" t="s">
        <v>161</v>
      </c>
      <c r="C52" s="233"/>
      <c r="D52" s="196" t="s">
        <v>5</v>
      </c>
    </row>
    <row r="53" spans="2:4" ht="15" x14ac:dyDescent="0.25">
      <c r="B53" s="200" t="s">
        <v>162</v>
      </c>
      <c r="C53" s="201"/>
      <c r="D53" s="198" t="s">
        <v>5</v>
      </c>
    </row>
    <row r="54" spans="2:4" ht="15" x14ac:dyDescent="0.25">
      <c r="B54" s="199" t="s">
        <v>192</v>
      </c>
      <c r="C54" s="233"/>
      <c r="D54" s="196" t="s">
        <v>59</v>
      </c>
    </row>
    <row r="55" spans="2:4" ht="15" x14ac:dyDescent="0.25">
      <c r="B55" s="200" t="s">
        <v>127</v>
      </c>
      <c r="C55" s="247"/>
      <c r="D55" s="198" t="s">
        <v>5</v>
      </c>
    </row>
    <row r="56" spans="2:4" ht="15" x14ac:dyDescent="0.25">
      <c r="B56" s="242" t="s">
        <v>150</v>
      </c>
      <c r="C56" s="205"/>
      <c r="D56" s="245" t="s">
        <v>2</v>
      </c>
    </row>
    <row r="57" spans="2:4" ht="15" x14ac:dyDescent="0.25">
      <c r="B57" s="194" t="s">
        <v>159</v>
      </c>
      <c r="C57" s="195"/>
      <c r="D57" s="196"/>
    </row>
    <row r="58" spans="2:4" ht="15" x14ac:dyDescent="0.25">
      <c r="B58" s="194" t="s">
        <v>200</v>
      </c>
      <c r="C58" s="195" t="s">
        <v>215</v>
      </c>
      <c r="D58" s="196"/>
    </row>
    <row r="59" spans="2:4" ht="15" x14ac:dyDescent="0.25">
      <c r="B59" s="197" t="s">
        <v>158</v>
      </c>
      <c r="C59" s="227"/>
      <c r="D59" s="198"/>
    </row>
    <row r="60" spans="2:4" x14ac:dyDescent="0.2">
      <c r="B60" s="246"/>
      <c r="C60" s="246"/>
      <c r="D60" s="246"/>
    </row>
    <row r="61" spans="2:4" x14ac:dyDescent="0.2">
      <c r="B61" s="246"/>
      <c r="C61" s="246"/>
      <c r="D61" s="246"/>
    </row>
  </sheetData>
  <dataValidations count="3">
    <dataValidation type="list" allowBlank="1" showInputMessage="1" showErrorMessage="1" sqref="C23 C57">
      <formula1>"a,b,c,d,e,f,g,h,i,j,"</formula1>
    </dataValidation>
    <dataValidation type="list" allowBlank="1" showInputMessage="1" showErrorMessage="1" sqref="C24 C58">
      <formula1>"Ja,Nei"</formula1>
    </dataValidation>
    <dataValidation type="list" allowBlank="1" showInputMessage="1" showErrorMessage="1" sqref="C25 C59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7</vt:i4>
      </vt:variant>
    </vt:vector>
  </HeadingPairs>
  <TitlesOfParts>
    <vt:vector size="29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AJH</cp:lastModifiedBy>
  <cp:lastPrinted>2016-05-13T18:56:13Z</cp:lastPrinted>
  <dcterms:created xsi:type="dcterms:W3CDTF">2000-05-18T12:37:17Z</dcterms:created>
  <dcterms:modified xsi:type="dcterms:W3CDTF">2016-05-15T08:33:24Z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