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/>
  <bookViews>
    <workbookView xWindow="0" yWindow="1680" windowWidth="12120" windowHeight="6405" tabRatio="601" firstSheet="1" activeTab="1"/>
  </bookViews>
  <sheets>
    <sheet name="tilbud" sheetId="1" state="hidden" r:id="rId1"/>
    <sheet name="Utslag" sheetId="2" r:id="rId2"/>
    <sheet name="Satser" sheetId="3" state="hidden" r:id="rId3"/>
    <sheet name="Ark5" sheetId="4" state="hidden" r:id="rId4"/>
    <sheet name="Ark6" sheetId="5" state="hidden" r:id="rId5"/>
    <sheet name="Ark7" sheetId="6" state="hidden" r:id="rId6"/>
    <sheet name="Ark8" sheetId="7" state="hidden" r:id="rId7"/>
    <sheet name="Ark9" sheetId="8" state="hidden" r:id="rId8"/>
    <sheet name="Ark10" sheetId="9" state="hidden" r:id="rId9"/>
    <sheet name="Ark11" sheetId="10" state="hidden" r:id="rId10"/>
    <sheet name="Ark12" sheetId="11" state="hidden" r:id="rId11"/>
    <sheet name="Ark13" sheetId="12" state="hidden" r:id="rId12"/>
    <sheet name="Ark14" sheetId="13" state="hidden" r:id="rId13"/>
    <sheet name="Ark15" sheetId="14" state="hidden" r:id="rId14"/>
    <sheet name="Ark16" sheetId="15" state="hidden" r:id="rId15"/>
    <sheet name="Ark1" sheetId="16" state="hidden" r:id="rId16"/>
    <sheet name="Ark2" sheetId="17" state="hidden" r:id="rId17"/>
    <sheet name="Ark3" sheetId="18" state="hidden" r:id="rId18"/>
    <sheet name="Ark4" sheetId="19" state="hidden" r:id="rId19"/>
    <sheet name="Ark17" sheetId="20" state="hidden" r:id="rId20"/>
    <sheet name="Ark18" sheetId="21" state="hidden" r:id="rId21"/>
    <sheet name="Ark19" sheetId="22" state="hidden" r:id="rId22"/>
  </sheets>
  <definedNames>
    <definedName name="AK">Satser!#REF!</definedName>
    <definedName name="AK_korn3">tilbud!$B$3:$I$15</definedName>
    <definedName name="AKkorn2">Satser!$B$3:$I$14</definedName>
    <definedName name="arealtilsk">Satser!#REF!</definedName>
    <definedName name="Avlsgris">Satser!#REF!</definedName>
    <definedName name="dismelk">tilbud!$N$24:$O$33</definedName>
    <definedName name="DKfrukt">Satser!#REF!</definedName>
    <definedName name="Grovfor">Satser!#REF!</definedName>
    <definedName name="Grovfor2">Satser!#REF!</definedName>
    <definedName name="innm">tilbud!$L$3:$R$5</definedName>
    <definedName name="nyttak">Satser!$A$64:$I$68</definedName>
    <definedName name="pleie">Satser!$A$32:$I$36</definedName>
    <definedName name="_xlnm.Print_Area" localSheetId="1">Utslag!$A$1:$F$41</definedName>
    <definedName name="Verpehøner">Satser!#REF!</definedName>
    <definedName name="Z_CCA592C6_FA5B_4C3F_AAFD_7D399E08D11C_.wvu.Cols" localSheetId="1" hidden="1">Utslag!$G:$H</definedName>
    <definedName name="Z_CCA592C6_FA5B_4C3F_AAFD_7D399E08D11C_.wvu.PrintArea" localSheetId="1" hidden="1">Utslag!$A$1:$F$41</definedName>
    <definedName name="Z_CCA592C6_FA5B_4C3F_AAFD_7D399E08D11C_.wvu.Rows" localSheetId="1" hidden="1">Utslag!$108:$108,Utslag!#REF!</definedName>
    <definedName name="økohusd">Satser!#REF!</definedName>
    <definedName name="Økologisk">Satser!#REF!</definedName>
  </definedNames>
  <calcPr calcId="125725"/>
  <customWorkbookViews>
    <customWorkbookView name="RKvamme - Personlig visning" guid="{CCA592C6-FA5B-4C3F-AAFD-7D399E08D11C}" mergeInterval="0" personalView="1" maximized="1" xWindow="1" yWindow="1" windowWidth="1024" windowHeight="553" tabRatio="601" activeSheetId="3" showComments="commIndAndComment"/>
  </customWorkbookViews>
</workbook>
</file>

<file path=xl/calcChain.xml><?xml version="1.0" encoding="utf-8"?>
<calcChain xmlns="http://schemas.openxmlformats.org/spreadsheetml/2006/main">
  <c r="E128" i="3"/>
  <c r="E125"/>
  <c r="E122"/>
  <c r="E119"/>
  <c r="E117"/>
  <c r="E114"/>
  <c r="E111"/>
  <c r="E108"/>
  <c r="F7" i="2"/>
  <c r="F18"/>
  <c r="F17"/>
  <c r="F22"/>
  <c r="F16"/>
  <c r="H103" l="1"/>
  <c r="D18" i="3"/>
  <c r="L6"/>
  <c r="M6"/>
  <c r="I22" s="1"/>
  <c r="N6"/>
  <c r="O6"/>
  <c r="P6"/>
  <c r="Q6"/>
  <c r="K6"/>
  <c r="F32" i="2"/>
  <c r="F31"/>
  <c r="F14" l="1"/>
  <c r="E261" i="3"/>
  <c r="D261"/>
  <c r="D262"/>
  <c r="D102"/>
  <c r="C102"/>
  <c r="E63"/>
  <c r="F63" s="1"/>
  <c r="E102" l="1"/>
  <c r="G63"/>
  <c r="F26" i="2" l="1"/>
  <c r="E62" i="3"/>
  <c r="F62" s="1"/>
  <c r="E61"/>
  <c r="F61" s="1"/>
  <c r="E49"/>
  <c r="F49" s="1"/>
  <c r="E48"/>
  <c r="E44"/>
  <c r="F44" s="1"/>
  <c r="E43"/>
  <c r="F43" s="1"/>
  <c r="E38"/>
  <c r="G38" s="1"/>
  <c r="D28"/>
  <c r="D27"/>
  <c r="D26"/>
  <c r="D25"/>
  <c r="D24"/>
  <c r="D23"/>
  <c r="D22"/>
  <c r="D21"/>
  <c r="C20"/>
  <c r="C21"/>
  <c r="C27"/>
  <c r="C25"/>
  <c r="C24"/>
  <c r="C23"/>
  <c r="H277"/>
  <c r="E258"/>
  <c r="D259"/>
  <c r="F13" i="2"/>
  <c r="F12"/>
  <c r="F11"/>
  <c r="F5"/>
  <c r="F6"/>
  <c r="F10"/>
  <c r="F9"/>
  <c r="F8"/>
  <c r="G62" i="3" l="1"/>
  <c r="G61"/>
  <c r="G49"/>
  <c r="G44"/>
  <c r="G43"/>
  <c r="F38"/>
  <c r="E87"/>
  <c r="G87" s="1"/>
  <c r="F87" l="1"/>
  <c r="E265" l="1"/>
  <c r="D258"/>
  <c r="E68"/>
  <c r="G68" s="1"/>
  <c r="I18"/>
  <c r="D19"/>
  <c r="I19"/>
  <c r="D20"/>
  <c r="C22"/>
  <c r="C26"/>
  <c r="C28"/>
  <c r="E35"/>
  <c r="F35" s="1"/>
  <c r="I35"/>
  <c r="E36"/>
  <c r="G36" s="1"/>
  <c r="I36"/>
  <c r="E37"/>
  <c r="F37" s="1"/>
  <c r="I38"/>
  <c r="E41"/>
  <c r="G41" s="1"/>
  <c r="E42"/>
  <c r="F42" s="1"/>
  <c r="E47"/>
  <c r="G47" s="1"/>
  <c r="G48"/>
  <c r="E52"/>
  <c r="F52" s="1"/>
  <c r="F53"/>
  <c r="G53"/>
  <c r="E57"/>
  <c r="G57" s="1"/>
  <c r="E58"/>
  <c r="G58" s="1"/>
  <c r="E59"/>
  <c r="G59" s="1"/>
  <c r="E60"/>
  <c r="F60" s="1"/>
  <c r="E65"/>
  <c r="G65" s="1"/>
  <c r="E66"/>
  <c r="F66" s="1"/>
  <c r="E67"/>
  <c r="G67" s="1"/>
  <c r="E71"/>
  <c r="G71" s="1"/>
  <c r="E72"/>
  <c r="F72" s="1"/>
  <c r="E73"/>
  <c r="G73" s="1"/>
  <c r="E74"/>
  <c r="E77"/>
  <c r="G77" s="1"/>
  <c r="F78"/>
  <c r="G78"/>
  <c r="F79"/>
  <c r="G79"/>
  <c r="E82"/>
  <c r="G82" s="1"/>
  <c r="E84"/>
  <c r="F84" s="1"/>
  <c r="F85"/>
  <c r="G85"/>
  <c r="F86"/>
  <c r="G86"/>
  <c r="F89"/>
  <c r="G89"/>
  <c r="C171"/>
  <c r="C173" s="1"/>
  <c r="C175" s="1"/>
  <c r="C172"/>
  <c r="C177" s="1"/>
  <c r="B201"/>
  <c r="C201"/>
  <c r="B202"/>
  <c r="C202"/>
  <c r="B206"/>
  <c r="C206"/>
  <c r="B210"/>
  <c r="C210"/>
  <c r="C211"/>
  <c r="B214"/>
  <c r="C214"/>
  <c r="B218"/>
  <c r="C218"/>
  <c r="B222"/>
  <c r="C222"/>
  <c r="B227"/>
  <c r="C227"/>
  <c r="B231"/>
  <c r="F128" s="1"/>
  <c r="C231"/>
  <c r="B235"/>
  <c r="E143" s="1"/>
  <c r="G143" s="1"/>
  <c r="C235"/>
  <c r="E243"/>
  <c r="G243" s="1"/>
  <c r="E244"/>
  <c r="G244" s="1"/>
  <c r="E245"/>
  <c r="G245" s="1"/>
  <c r="E246"/>
  <c r="G246" s="1"/>
  <c r="E247"/>
  <c r="G247" s="1"/>
  <c r="E248"/>
  <c r="G248" s="1"/>
  <c r="E249"/>
  <c r="G249" s="1"/>
  <c r="E250"/>
  <c r="G250" s="1"/>
  <c r="E251"/>
  <c r="G251" s="1"/>
  <c r="E252"/>
  <c r="G252" s="1"/>
  <c r="F265"/>
  <c r="G265"/>
  <c r="E266"/>
  <c r="F266"/>
  <c r="G266"/>
  <c r="C299"/>
  <c r="C301" s="1"/>
  <c r="H5" i="2"/>
  <c r="H6"/>
  <c r="H107"/>
  <c r="H106"/>
  <c r="H108"/>
  <c r="H9"/>
  <c r="H10"/>
  <c r="H13"/>
  <c r="H14"/>
  <c r="H16"/>
  <c r="H18"/>
  <c r="H22"/>
  <c r="D22" i="1"/>
  <c r="I22"/>
  <c r="D23"/>
  <c r="I23"/>
  <c r="C24"/>
  <c r="D24"/>
  <c r="C25"/>
  <c r="D25"/>
  <c r="C26"/>
  <c r="D26"/>
  <c r="C27"/>
  <c r="D27"/>
  <c r="C28"/>
  <c r="D28"/>
  <c r="D29"/>
  <c r="C30"/>
  <c r="C32" s="1"/>
  <c r="D30"/>
  <c r="C31"/>
  <c r="D31"/>
  <c r="D32"/>
  <c r="C33"/>
  <c r="D33"/>
  <c r="C34"/>
  <c r="C35" s="1"/>
  <c r="D34"/>
  <c r="D35"/>
  <c r="C36"/>
  <c r="D36"/>
  <c r="C43"/>
  <c r="E89" s="1"/>
  <c r="C44"/>
  <c r="E90" s="1"/>
  <c r="C45"/>
  <c r="E45" s="1"/>
  <c r="C48"/>
  <c r="E94" s="1"/>
  <c r="C49"/>
  <c r="E49" s="1"/>
  <c r="C52"/>
  <c r="E52" s="1"/>
  <c r="F54" s="1"/>
  <c r="C53"/>
  <c r="E99" s="1"/>
  <c r="C56"/>
  <c r="E56" s="1"/>
  <c r="F60" s="1"/>
  <c r="C57"/>
  <c r="E57" s="1"/>
  <c r="C58"/>
  <c r="E58" s="1"/>
  <c r="C59"/>
  <c r="E59" s="1"/>
  <c r="C62"/>
  <c r="E62" s="1"/>
  <c r="F63" s="1"/>
  <c r="C69"/>
  <c r="E69" s="1"/>
  <c r="F72" s="1"/>
  <c r="C70"/>
  <c r="E116" s="1"/>
  <c r="C71"/>
  <c r="E117" s="1"/>
  <c r="C74"/>
  <c r="E74" s="1"/>
  <c r="F78" s="1"/>
  <c r="C75"/>
  <c r="E121" s="1"/>
  <c r="C76"/>
  <c r="E76" s="1"/>
  <c r="C77"/>
  <c r="E77" s="1"/>
  <c r="F79"/>
  <c r="D89"/>
  <c r="D90"/>
  <c r="D91"/>
  <c r="D94"/>
  <c r="D95"/>
  <c r="D98"/>
  <c r="D99"/>
  <c r="D102"/>
  <c r="E102"/>
  <c r="G102" s="1"/>
  <c r="D103"/>
  <c r="E103"/>
  <c r="E104"/>
  <c r="G104" s="1"/>
  <c r="E105"/>
  <c r="G105" s="1"/>
  <c r="F105"/>
  <c r="D109"/>
  <c r="D110"/>
  <c r="D111"/>
  <c r="E111"/>
  <c r="G111" s="1"/>
  <c r="D112"/>
  <c r="D115"/>
  <c r="D116"/>
  <c r="D117"/>
  <c r="D120"/>
  <c r="D121"/>
  <c r="D122"/>
  <c r="D126"/>
  <c r="E126"/>
  <c r="G126" s="1"/>
  <c r="D127"/>
  <c r="G127" s="1"/>
  <c r="F127"/>
  <c r="D128"/>
  <c r="F128"/>
  <c r="G128"/>
  <c r="D131"/>
  <c r="E131"/>
  <c r="G131" s="1"/>
  <c r="F131"/>
  <c r="D132"/>
  <c r="E132"/>
  <c r="F132" s="1"/>
  <c r="D133"/>
  <c r="E133"/>
  <c r="F133" s="1"/>
  <c r="D134"/>
  <c r="F134"/>
  <c r="G134"/>
  <c r="D135"/>
  <c r="G135" s="1"/>
  <c r="F135"/>
  <c r="D138"/>
  <c r="G138" s="1"/>
  <c r="F138"/>
  <c r="D153"/>
  <c r="D154"/>
  <c r="D157"/>
  <c r="C250" s="1"/>
  <c r="D160"/>
  <c r="D161"/>
  <c r="D164"/>
  <c r="D167"/>
  <c r="C262" s="1"/>
  <c r="D170"/>
  <c r="D173"/>
  <c r="D176"/>
  <c r="D179"/>
  <c r="D182"/>
  <c r="D185"/>
  <c r="D188"/>
  <c r="D191"/>
  <c r="C279" s="1"/>
  <c r="D194"/>
  <c r="D197"/>
  <c r="C216"/>
  <c r="C217"/>
  <c r="C218"/>
  <c r="C219" s="1"/>
  <c r="C221" s="1"/>
  <c r="C223" s="1"/>
  <c r="C220"/>
  <c r="C222"/>
  <c r="B245"/>
  <c r="D245" s="1"/>
  <c r="E246" s="1"/>
  <c r="E282" s="1"/>
  <c r="D210" s="1"/>
  <c r="C245"/>
  <c r="B246"/>
  <c r="C246"/>
  <c r="B250"/>
  <c r="E157" s="1"/>
  <c r="B254"/>
  <c r="E160" s="1"/>
  <c r="C254"/>
  <c r="B255"/>
  <c r="E161" s="1"/>
  <c r="C255"/>
  <c r="B258"/>
  <c r="C258"/>
  <c r="B262"/>
  <c r="E167" s="1"/>
  <c r="B266"/>
  <c r="C266"/>
  <c r="B271"/>
  <c r="E173" s="1"/>
  <c r="C271"/>
  <c r="B275"/>
  <c r="E176" s="1"/>
  <c r="C275"/>
  <c r="B279"/>
  <c r="E191" s="1"/>
  <c r="E287"/>
  <c r="G287" s="1"/>
  <c r="G295" s="1"/>
  <c r="E288"/>
  <c r="G288" s="1"/>
  <c r="E289"/>
  <c r="G289" s="1"/>
  <c r="E290"/>
  <c r="G290" s="1"/>
  <c r="E291"/>
  <c r="G291" s="1"/>
  <c r="F291"/>
  <c r="H291" s="1"/>
  <c r="H295" s="1"/>
  <c r="H296" s="1"/>
  <c r="E292"/>
  <c r="G292"/>
  <c r="F292"/>
  <c r="H292" s="1"/>
  <c r="E293"/>
  <c r="G293" s="1"/>
  <c r="E294"/>
  <c r="G294" s="1"/>
  <c r="E110"/>
  <c r="F110" s="1"/>
  <c r="E53"/>
  <c r="F126"/>
  <c r="F104"/>
  <c r="E91"/>
  <c r="F91" s="1"/>
  <c r="G91"/>
  <c r="I21" i="3" l="1"/>
  <c r="I23" s="1"/>
  <c r="C18"/>
  <c r="B211"/>
  <c r="H92" i="2"/>
  <c r="D214" i="3"/>
  <c r="E215" s="1"/>
  <c r="E83"/>
  <c r="G83" s="1"/>
  <c r="E35" i="1"/>
  <c r="D235" i="3"/>
  <c r="E236" s="1"/>
  <c r="G117" i="1"/>
  <c r="F117"/>
  <c r="E122"/>
  <c r="F122" s="1"/>
  <c r="G103"/>
  <c r="E71"/>
  <c r="E27"/>
  <c r="H15" i="2"/>
  <c r="D227" i="3"/>
  <c r="E228" s="1"/>
  <c r="G133" i="1"/>
  <c r="E34"/>
  <c r="E32"/>
  <c r="F47" i="3"/>
  <c r="D266" i="1"/>
  <c r="E267" s="1"/>
  <c r="D258"/>
  <c r="E259" s="1"/>
  <c r="D246"/>
  <c r="E36"/>
  <c r="E31"/>
  <c r="F77" i="3"/>
  <c r="F119"/>
  <c r="G119"/>
  <c r="D218"/>
  <c r="E219" s="1"/>
  <c r="D206"/>
  <c r="E207" s="1"/>
  <c r="F82"/>
  <c r="G157" i="1"/>
  <c r="F157"/>
  <c r="G110"/>
  <c r="E98"/>
  <c r="D271"/>
  <c r="E272" s="1"/>
  <c r="E95"/>
  <c r="E33"/>
  <c r="E25"/>
  <c r="D279"/>
  <c r="E280" s="1"/>
  <c r="D265" i="3"/>
  <c r="H265" s="1"/>
  <c r="F143"/>
  <c r="E109" i="1"/>
  <c r="E70"/>
  <c r="D250"/>
  <c r="E251" s="1"/>
  <c r="F111"/>
  <c r="G132"/>
  <c r="E30"/>
  <c r="C29"/>
  <c r="E29" s="1"/>
  <c r="E26"/>
  <c r="E24"/>
  <c r="F33" i="2"/>
  <c r="D201" i="3"/>
  <c r="D266"/>
  <c r="H266" s="1"/>
  <c r="E23"/>
  <c r="F73"/>
  <c r="D255" i="1"/>
  <c r="C22"/>
  <c r="C23" s="1"/>
  <c r="E23" s="1"/>
  <c r="F68" i="3"/>
  <c r="E25"/>
  <c r="G84"/>
  <c r="D202"/>
  <c r="F48"/>
  <c r="F41"/>
  <c r="G52"/>
  <c r="E26"/>
  <c r="E24"/>
  <c r="E21"/>
  <c r="E20"/>
  <c r="E18"/>
  <c r="F57"/>
  <c r="F71"/>
  <c r="E28"/>
  <c r="I66"/>
  <c r="G66"/>
  <c r="D210"/>
  <c r="D231"/>
  <c r="E232" s="1"/>
  <c r="G37"/>
  <c r="F59"/>
  <c r="E22"/>
  <c r="F15" i="2"/>
  <c r="F111" i="3"/>
  <c r="G111"/>
  <c r="F122"/>
  <c r="G122"/>
  <c r="G114"/>
  <c r="F114"/>
  <c r="G253"/>
  <c r="H254" s="1"/>
  <c r="I68"/>
  <c r="G72"/>
  <c r="F65"/>
  <c r="F67"/>
  <c r="G60"/>
  <c r="G42"/>
  <c r="D222"/>
  <c r="E223" s="1"/>
  <c r="G128"/>
  <c r="E27"/>
  <c r="I65"/>
  <c r="F36"/>
  <c r="F58"/>
  <c r="G35"/>
  <c r="F160" i="1"/>
  <c r="G160"/>
  <c r="F90"/>
  <c r="G90"/>
  <c r="G176"/>
  <c r="F176"/>
  <c r="F173"/>
  <c r="G173"/>
  <c r="F167"/>
  <c r="G167"/>
  <c r="G161"/>
  <c r="F161"/>
  <c r="G99"/>
  <c r="F99"/>
  <c r="G94"/>
  <c r="F94"/>
  <c r="F191"/>
  <c r="G191"/>
  <c r="G121"/>
  <c r="F121"/>
  <c r="F116"/>
  <c r="G116"/>
  <c r="F89"/>
  <c r="F139" s="1"/>
  <c r="G89"/>
  <c r="G139" s="1"/>
  <c r="E170"/>
  <c r="E164"/>
  <c r="E154"/>
  <c r="E75"/>
  <c r="E48"/>
  <c r="F50" s="1"/>
  <c r="E44"/>
  <c r="D262"/>
  <c r="E263" s="1"/>
  <c r="E153"/>
  <c r="G122"/>
  <c r="E120"/>
  <c r="F103"/>
  <c r="F102"/>
  <c r="E112"/>
  <c r="E43"/>
  <c r="F46" s="1"/>
  <c r="E28"/>
  <c r="D254"/>
  <c r="E256" s="1"/>
  <c r="D275"/>
  <c r="E276" s="1"/>
  <c r="E115"/>
  <c r="D211" i="3" l="1"/>
  <c r="H23" i="2"/>
  <c r="F83" i="3"/>
  <c r="F92" s="1"/>
  <c r="F94" s="1"/>
  <c r="E202"/>
  <c r="E22" i="1"/>
  <c r="E37" s="1"/>
  <c r="H20" i="2" s="1"/>
  <c r="C19" i="3"/>
  <c r="E19" s="1"/>
  <c r="E29" s="1"/>
  <c r="F19" i="2" s="1"/>
  <c r="G95" i="1"/>
  <c r="F95"/>
  <c r="G109"/>
  <c r="F109"/>
  <c r="G98"/>
  <c r="F98"/>
  <c r="D267" i="3"/>
  <c r="E267"/>
  <c r="F267"/>
  <c r="G267"/>
  <c r="E212"/>
  <c r="G108"/>
  <c r="F108"/>
  <c r="F117"/>
  <c r="G117"/>
  <c r="G92"/>
  <c r="G94" s="1"/>
  <c r="F125"/>
  <c r="G125"/>
  <c r="G153" i="1"/>
  <c r="G199" s="1"/>
  <c r="F153"/>
  <c r="F199" s="1"/>
  <c r="F112"/>
  <c r="G112"/>
  <c r="G170"/>
  <c r="F170"/>
  <c r="F115"/>
  <c r="G115"/>
  <c r="F83"/>
  <c r="D149" s="1"/>
  <c r="F65"/>
  <c r="G120"/>
  <c r="F120"/>
  <c r="G164"/>
  <c r="F164"/>
  <c r="I145"/>
  <c r="C146"/>
  <c r="C145"/>
  <c r="C144"/>
  <c r="I146"/>
  <c r="C143"/>
  <c r="C147" s="1"/>
  <c r="I144"/>
  <c r="I143"/>
  <c r="I147" s="1"/>
  <c r="G154"/>
  <c r="F154"/>
  <c r="E238" i="3" l="1"/>
  <c r="D162" s="1"/>
  <c r="H267"/>
  <c r="H268" s="1"/>
  <c r="H276" s="1"/>
  <c r="F151"/>
  <c r="G151"/>
  <c r="D104"/>
  <c r="I96"/>
  <c r="I99"/>
  <c r="C96"/>
  <c r="I97"/>
  <c r="C99"/>
  <c r="C97"/>
  <c r="I98"/>
  <c r="C98"/>
  <c r="C203" i="1"/>
  <c r="C207" s="1"/>
  <c r="H21" i="2" s="1"/>
  <c r="C206" i="1"/>
  <c r="C205"/>
  <c r="C204"/>
  <c r="G21" i="2" s="1"/>
  <c r="C155" i="3" l="1"/>
  <c r="E20" i="2"/>
  <c r="C156" i="3"/>
  <c r="C180"/>
  <c r="C157"/>
  <c r="C158"/>
  <c r="C100"/>
  <c r="F20" i="2" s="1"/>
  <c r="I100" i="3"/>
  <c r="C159" l="1"/>
  <c r="F23" i="2" s="1"/>
  <c r="C179" i="3"/>
  <c r="C178"/>
  <c r="C181"/>
  <c r="C182"/>
  <c r="F25" i="2" l="1"/>
  <c r="F27" s="1"/>
  <c r="F34" s="1"/>
</calcChain>
</file>

<file path=xl/comments1.xml><?xml version="1.0" encoding="utf-8"?>
<comments xmlns="http://schemas.openxmlformats.org/spreadsheetml/2006/main">
  <authors>
    <author>BrukerBondelaget</author>
  </authors>
  <commentList>
    <comment ref="E53" author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Ikke i bruk</t>
        </r>
      </text>
    </comment>
    <comment ref="F261" author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40 maks</t>
        </r>
      </text>
    </comment>
  </commentList>
</comments>
</file>

<file path=xl/sharedStrings.xml><?xml version="1.0" encoding="utf-8"?>
<sst xmlns="http://schemas.openxmlformats.org/spreadsheetml/2006/main" count="716" uniqueCount="278">
  <si>
    <t>Utslag</t>
  </si>
  <si>
    <t>Sum utslag</t>
  </si>
  <si>
    <t>kg</t>
  </si>
  <si>
    <t>daa</t>
  </si>
  <si>
    <t>Melkeku</t>
  </si>
  <si>
    <t>dyr</t>
  </si>
  <si>
    <t>Storfe</t>
  </si>
  <si>
    <t>Melkegeit</t>
  </si>
  <si>
    <t>Sau/ammegeit</t>
  </si>
  <si>
    <t>Ammeku utenfor melkebruk</t>
  </si>
  <si>
    <t>Avlsgris</t>
  </si>
  <si>
    <t>Slaktegris</t>
  </si>
  <si>
    <t>Verpehøner</t>
  </si>
  <si>
    <t>Melk, ku</t>
  </si>
  <si>
    <t>liter</t>
  </si>
  <si>
    <t>Melk, geit</t>
  </si>
  <si>
    <t>Ammeku</t>
  </si>
  <si>
    <t>AK-korn2</t>
  </si>
  <si>
    <t>Sone</t>
  </si>
  <si>
    <t>Produksjonstilskudd, husdyr</t>
  </si>
  <si>
    <t>Husdyrslag</t>
  </si>
  <si>
    <t>Antall dyr</t>
  </si>
  <si>
    <t>Satsendring</t>
  </si>
  <si>
    <t>1-8 dyr</t>
  </si>
  <si>
    <t>17-25 dyr</t>
  </si>
  <si>
    <t>1-40 dyr</t>
  </si>
  <si>
    <t>Produksjonstilskudd husdyr</t>
  </si>
  <si>
    <t>Sats</t>
  </si>
  <si>
    <t>Ny Sats</t>
  </si>
  <si>
    <t>Dyretall</t>
  </si>
  <si>
    <t>Tilskudd</t>
  </si>
  <si>
    <t>Ny tilskudd</t>
  </si>
  <si>
    <t>Toppavgrensing</t>
  </si>
  <si>
    <t>gml tilsk</t>
  </si>
  <si>
    <t>nye tilskudd</t>
  </si>
  <si>
    <t>gml.tilsk under, nye tilsk over</t>
  </si>
  <si>
    <t>gml.tilsk over, nye tilsk over</t>
  </si>
  <si>
    <t>gml.tilsk over, nye tilsk under</t>
  </si>
  <si>
    <t>Poteter</t>
  </si>
  <si>
    <t>1-16 dyr</t>
  </si>
  <si>
    <t>26-50 dyr</t>
  </si>
  <si>
    <t>1-125 dyr</t>
  </si>
  <si>
    <t>126-250</t>
  </si>
  <si>
    <t>Avløser</t>
  </si>
  <si>
    <t>over 8 kyr</t>
  </si>
  <si>
    <t>over 40 dyr</t>
  </si>
  <si>
    <t>Avløser Ferie/fritid</t>
  </si>
  <si>
    <t>Grovfôr</t>
  </si>
  <si>
    <t>Korn</t>
  </si>
  <si>
    <t>Areal:</t>
  </si>
  <si>
    <t>Potet</t>
  </si>
  <si>
    <t>Korn og oljefrø</t>
  </si>
  <si>
    <t>Innmarksbeite (kode 212)</t>
  </si>
  <si>
    <t>1-1400 dyr</t>
  </si>
  <si>
    <t>kr</t>
  </si>
  <si>
    <t>stk</t>
  </si>
  <si>
    <t>Geit</t>
  </si>
  <si>
    <t>Antall medlemmer i samdrift (ku/geit)</t>
  </si>
  <si>
    <t>samdrift</t>
  </si>
  <si>
    <t>antall</t>
  </si>
  <si>
    <t>Hest</t>
  </si>
  <si>
    <t>Salgbar avling av matpoteter</t>
  </si>
  <si>
    <t>Grønnsaker</t>
  </si>
  <si>
    <t>1-75 dyr</t>
  </si>
  <si>
    <t xml:space="preserve">1) Forutsatt ingen kostnadsvekst i leddene mellom bonde og målprispunkt. </t>
  </si>
  <si>
    <t>Mjølkegeit</t>
  </si>
  <si>
    <t>Husdyrtilskudd</t>
  </si>
  <si>
    <t>Salgskvantum:</t>
  </si>
  <si>
    <t>Husdyr:</t>
  </si>
  <si>
    <t>Oljefrø</t>
  </si>
  <si>
    <t>Innmarksbeite</t>
  </si>
  <si>
    <t>Grovfôr, fulldyrka og overflatedyrka</t>
  </si>
  <si>
    <t>Driftstilskudd</t>
  </si>
  <si>
    <t>Ku, Sør-Norge</t>
  </si>
  <si>
    <t>Ku, Nord-Norge</t>
  </si>
  <si>
    <t>Driftstilskudd kjøtt</t>
  </si>
  <si>
    <t>Driftstilskudd sau</t>
  </si>
  <si>
    <t>(denne overføres regneark)</t>
  </si>
  <si>
    <t>Kulturlandskapstilskudd</t>
  </si>
  <si>
    <t>Gris</t>
  </si>
  <si>
    <t>Egg</t>
  </si>
  <si>
    <t>Sau/lam</t>
  </si>
  <si>
    <t>over 200 dekar</t>
  </si>
  <si>
    <t>over 60 dekar</t>
  </si>
  <si>
    <t>0-30 dekar</t>
  </si>
  <si>
    <t>31-60 dekar</t>
  </si>
  <si>
    <t>31-40 dekar</t>
  </si>
  <si>
    <t>over 40 dekar</t>
  </si>
  <si>
    <t>0-200 dekar</t>
  </si>
  <si>
    <t>0-150 dekar</t>
  </si>
  <si>
    <t>0-800 dekar</t>
  </si>
  <si>
    <t>over 150 dekar</t>
  </si>
  <si>
    <t>over 800 dekar</t>
  </si>
  <si>
    <t>1-50 dyr</t>
  </si>
  <si>
    <t>51-250</t>
  </si>
  <si>
    <t>1-35 dyr, Sør-Norge</t>
  </si>
  <si>
    <t>1-35 dyr, Nord- Norge</t>
  </si>
  <si>
    <t>Sau over 1 år pr 1. januar</t>
  </si>
  <si>
    <t>201-</t>
  </si>
  <si>
    <t>36-70</t>
  </si>
  <si>
    <t>71-</t>
  </si>
  <si>
    <t>Sør-Norge 1-1000</t>
  </si>
  <si>
    <t>Nord-Norge 1-1000</t>
  </si>
  <si>
    <t>Verpehøner, landet 1001-5000</t>
  </si>
  <si>
    <t>Verpehøner, landet 5001-7500</t>
  </si>
  <si>
    <t>51-250 dyr</t>
  </si>
  <si>
    <t>1401-2100</t>
  </si>
  <si>
    <t>2100-</t>
  </si>
  <si>
    <t>Verpehøner, landet 7500 -</t>
  </si>
  <si>
    <t>Hest, unghest &lt; 3 år</t>
  </si>
  <si>
    <t>alle dyr</t>
  </si>
  <si>
    <t xml:space="preserve">Hester </t>
  </si>
  <si>
    <t>Avlskaniner</t>
  </si>
  <si>
    <t>Gjess/kalkuner</t>
  </si>
  <si>
    <t>Ender/livkyllinger</t>
  </si>
  <si>
    <t>Slaktekyllinger</t>
  </si>
  <si>
    <t>Revetisper</t>
  </si>
  <si>
    <t>Mink/ildertisper</t>
  </si>
  <si>
    <t>Lammeslakt</t>
  </si>
  <si>
    <t>kval. O og bedre</t>
  </si>
  <si>
    <t>kval. P og P-</t>
  </si>
  <si>
    <t>Kjeslakt over 3,5 kg</t>
  </si>
  <si>
    <t xml:space="preserve">Legg inn tall for ditt bruk: </t>
  </si>
  <si>
    <t>Matkorn (hvete, rug)</t>
  </si>
  <si>
    <t>SUM arealtilskudd</t>
  </si>
  <si>
    <t>Sum</t>
  </si>
  <si>
    <t>Tillegg Nord-Norge</t>
  </si>
  <si>
    <t>Sum endring produksjonstilskudd</t>
  </si>
  <si>
    <t>Verpehøns</t>
  </si>
  <si>
    <r>
      <t>Slaktekylling</t>
    </r>
    <r>
      <rPr>
        <sz val="10"/>
        <rFont val="Arial"/>
        <family val="2"/>
      </rPr>
      <t xml:space="preserve"> </t>
    </r>
  </si>
  <si>
    <t>SUM avløsertilskudd</t>
  </si>
  <si>
    <t>Gml.</t>
  </si>
  <si>
    <t>SUM endring avløsertilskudd</t>
  </si>
  <si>
    <t>Beite:</t>
  </si>
  <si>
    <t>Sum tilskudd:</t>
  </si>
  <si>
    <t>Utslag for ditt bruk.</t>
  </si>
  <si>
    <t>Kylling</t>
  </si>
  <si>
    <t>NY SATS 2008</t>
  </si>
  <si>
    <t>Melkegeit/ melkesau</t>
  </si>
  <si>
    <t>Melkegeit/melkesau</t>
  </si>
  <si>
    <t>Storfekjøtt</t>
  </si>
  <si>
    <t>Sum utslag i produksjonstilskudd, alle husdyrslag</t>
  </si>
  <si>
    <t>Statens tilbud</t>
  </si>
  <si>
    <t>Bær</t>
  </si>
  <si>
    <t xml:space="preserve">Utregning av AK-tilskudd </t>
  </si>
  <si>
    <t>Frukt</t>
  </si>
  <si>
    <t>76-100</t>
  </si>
  <si>
    <t>100-200</t>
  </si>
  <si>
    <t>Sau over 1 år pr 1. Januar og ammegeit</t>
  </si>
  <si>
    <t>kval. P+</t>
  </si>
  <si>
    <t>kval. O-</t>
  </si>
  <si>
    <t>0/0/-63 kr</t>
  </si>
  <si>
    <t>Forbruk av kraftfòr</t>
  </si>
  <si>
    <t>Satser økologisk</t>
  </si>
  <si>
    <t>Andre storfe</t>
  </si>
  <si>
    <t>Avslgris</t>
  </si>
  <si>
    <t>Sone 5-7</t>
  </si>
  <si>
    <t>Areal/dyr</t>
  </si>
  <si>
    <t>SUM</t>
  </si>
  <si>
    <t>Økologisk areal/dyr</t>
  </si>
  <si>
    <t>Sone distriktstilskudd kjøtt  (1 - 5)</t>
  </si>
  <si>
    <t>Sone distriktstilskudd melk  (a - j)</t>
  </si>
  <si>
    <t>Sone for AK-tilskudd (1 - 7)</t>
  </si>
  <si>
    <t xml:space="preserve">Storfe, hest, hjort minst 12 / 16 uker på beite </t>
  </si>
  <si>
    <t>Geit, sau, lam minst 12 / 16 uker på beite</t>
  </si>
  <si>
    <t>Melk</t>
  </si>
  <si>
    <t>0/ 0 kr</t>
  </si>
  <si>
    <t>Svinekjøtt</t>
  </si>
  <si>
    <t>Sau/lammekjøtt</t>
  </si>
  <si>
    <t>Havre</t>
  </si>
  <si>
    <t>Melkekyr</t>
  </si>
  <si>
    <t>Sau over 1 år</t>
  </si>
  <si>
    <t xml:space="preserve"> 6-39</t>
  </si>
  <si>
    <t>40-49</t>
  </si>
  <si>
    <t>49-</t>
  </si>
  <si>
    <t>Bare kumelk</t>
  </si>
  <si>
    <t>Bare geitmelk</t>
  </si>
  <si>
    <t>Bare ammeku</t>
  </si>
  <si>
    <t>Bare sau</t>
  </si>
  <si>
    <t>Kumelk + Geitmelk</t>
  </si>
  <si>
    <t>Kumelk + Ammeku</t>
  </si>
  <si>
    <t>Sau</t>
  </si>
  <si>
    <t>Fjorårets</t>
  </si>
  <si>
    <t>Pr dyr</t>
  </si>
  <si>
    <t>Maks tilskudd</t>
  </si>
  <si>
    <t>Årets satser</t>
  </si>
  <si>
    <t>Beregning</t>
  </si>
  <si>
    <t>Tilskudd 1</t>
  </si>
  <si>
    <t>Tilskudd 2</t>
  </si>
  <si>
    <t>Endring</t>
  </si>
  <si>
    <t xml:space="preserve">Ammeku </t>
  </si>
  <si>
    <t>Gml dyretall</t>
  </si>
  <si>
    <t>Pris</t>
  </si>
  <si>
    <t>Endelig tilskudd</t>
  </si>
  <si>
    <t>Antall lammeslakt kl. O og bedre</t>
  </si>
  <si>
    <t>50-75</t>
  </si>
  <si>
    <t>Målpriser</t>
  </si>
  <si>
    <t>Kr/bruk</t>
  </si>
  <si>
    <t>Grunntilskudd geitmelk</t>
  </si>
  <si>
    <t>pr dyr</t>
  </si>
  <si>
    <t>2 medl</t>
  </si>
  <si>
    <t>Bruttoinntekter av frukt</t>
  </si>
  <si>
    <t>Bruttoinntekter av  grønt</t>
  </si>
  <si>
    <t>Melk (ku og geit)</t>
  </si>
  <si>
    <r>
      <t>(NB! Denne</t>
    </r>
    <r>
      <rPr>
        <b/>
        <u/>
        <sz val="11"/>
        <color indexed="61"/>
        <rFont val="Arial"/>
        <family val="2"/>
      </rPr>
      <t xml:space="preserve"> må</t>
    </r>
    <r>
      <rPr>
        <b/>
        <sz val="11"/>
        <color indexed="61"/>
        <rFont val="Arial"/>
        <family val="2"/>
      </rPr>
      <t xml:space="preserve"> fylles ut!!!)</t>
    </r>
  </si>
  <si>
    <t>Er areal/dyr lagt om til økologisk drift?</t>
  </si>
  <si>
    <t>0-250 dekar</t>
  </si>
  <si>
    <t>Over 250 dekar</t>
  </si>
  <si>
    <t>Kr</t>
  </si>
  <si>
    <t>Fjørfekjøtt</t>
  </si>
  <si>
    <t xml:space="preserve">NB! NB! DETTE UTSLAGET ER IKKE DET SAMME SOM ØKT INNTEKT !!! </t>
  </si>
  <si>
    <t>Samlet gjeld på jordbruksdrifta</t>
  </si>
  <si>
    <t>Driftskostnader (Variable + Faste)</t>
  </si>
  <si>
    <t>Rentekostnader</t>
  </si>
  <si>
    <t>SUM Kostnadsvekst</t>
  </si>
  <si>
    <t>UTSLAGET SKAL BL.A. DEKKE ØKTE KOSTNADER!</t>
  </si>
  <si>
    <r>
      <t xml:space="preserve">Sum prisendringer </t>
    </r>
    <r>
      <rPr>
        <b/>
        <sz val="12"/>
        <color indexed="10"/>
        <rFont val="Arial"/>
        <family val="2"/>
      </rPr>
      <t>1)</t>
    </r>
  </si>
  <si>
    <t>Storfe forventet prisvekst</t>
  </si>
  <si>
    <t>50 +</t>
  </si>
  <si>
    <t>NY SATS 2014</t>
  </si>
  <si>
    <t>Hjort</t>
  </si>
  <si>
    <t>Sau/lam forventet prisvekst</t>
  </si>
  <si>
    <t>Egg forventet prisvekst</t>
  </si>
  <si>
    <t>0-80 dekar</t>
  </si>
  <si>
    <t>Over 80 dekar</t>
  </si>
  <si>
    <t>0-40 dekar</t>
  </si>
  <si>
    <t>over 250 dekar</t>
  </si>
  <si>
    <t>Alt areal</t>
  </si>
  <si>
    <t>51+</t>
  </si>
  <si>
    <t>251-500</t>
  </si>
  <si>
    <t>500+</t>
  </si>
  <si>
    <t>250+</t>
  </si>
  <si>
    <t>201-300</t>
  </si>
  <si>
    <t>300+</t>
  </si>
  <si>
    <t>0 øre/kg</t>
  </si>
  <si>
    <t>Sone 1-4</t>
  </si>
  <si>
    <t>Nei</t>
  </si>
  <si>
    <t>Utegangersau</t>
  </si>
  <si>
    <t>Kraftfôrkostnader</t>
  </si>
  <si>
    <t>2) Følgende større elementer er ikke tatt med i utslagsberegningene:</t>
  </si>
  <si>
    <t>Forventet kostnadsvekst:</t>
  </si>
  <si>
    <t>Kostnader  (NB MÅ LEGGES INN)</t>
  </si>
  <si>
    <t>Kroner utbetalt i Regionale miljøprogram (RMP)</t>
  </si>
  <si>
    <t>Reginalt miljøprogram (RMP)</t>
  </si>
  <si>
    <r>
      <t xml:space="preserve">Fjørfe forventet prisvekst </t>
    </r>
    <r>
      <rPr>
        <sz val="11"/>
        <color rgb="FFFF0000"/>
        <rFont val="Arial"/>
        <family val="2"/>
      </rPr>
      <t>3)</t>
    </r>
  </si>
  <si>
    <t>Utslag i 2016</t>
  </si>
  <si>
    <t>3,0 %</t>
  </si>
  <si>
    <t>3,5 %</t>
  </si>
  <si>
    <t>0,0 %</t>
  </si>
  <si>
    <t>SUM UTSLAG 2016 ETTER KOSTNADSDEKKING</t>
  </si>
  <si>
    <t>Korregert innmarksbeite</t>
  </si>
  <si>
    <t>Grovfôrsats</t>
  </si>
  <si>
    <t>Kulturlandskap</t>
  </si>
  <si>
    <t>Korreksjon kroner</t>
  </si>
  <si>
    <t>Korreksjon kroner/daa</t>
  </si>
  <si>
    <t>Areal- og kulturlandskapstilskudd</t>
  </si>
  <si>
    <t>Korn, Potet, Grønnsaker, Frukt og Bær</t>
  </si>
  <si>
    <t>Storfeslakttilskudd</t>
  </si>
  <si>
    <t>Driftskostnader</t>
  </si>
  <si>
    <t>Fjørfe Vestlandet eller Agder?</t>
  </si>
  <si>
    <t>Distriktstilskudd egg og fjørfekjøtt</t>
  </si>
  <si>
    <t xml:space="preserve"> * Fjerning av rentestøtte med 60 mill. kr </t>
  </si>
  <si>
    <t>Unghest &lt; 3 år</t>
  </si>
  <si>
    <t>Bevaringsverdige husdyrraser</t>
  </si>
  <si>
    <t>7 øre/liter</t>
  </si>
  <si>
    <t>0,60 kr/kg</t>
  </si>
  <si>
    <t>5-8 øre/kg</t>
  </si>
  <si>
    <t>10 øre/kg</t>
  </si>
  <si>
    <t>2,0 prosent</t>
  </si>
  <si>
    <t>Egg i Trøndelag?</t>
  </si>
  <si>
    <t>Avløsertilskudd</t>
  </si>
  <si>
    <t xml:space="preserve"> dyr</t>
  </si>
  <si>
    <r>
      <t xml:space="preserve">Utslag av Statens </t>
    </r>
    <r>
      <rPr>
        <b/>
        <u/>
        <sz val="20"/>
        <rFont val="Arial"/>
        <family val="2"/>
      </rPr>
      <t>reviderte</t>
    </r>
    <r>
      <rPr>
        <b/>
        <sz val="20"/>
        <rFont val="Arial"/>
        <family val="2"/>
      </rPr>
      <t xml:space="preserve"> tilbud 2015-2016</t>
    </r>
  </si>
  <si>
    <t>Driftstilskudd, Beitetilskudd, Bunnfradrag</t>
  </si>
  <si>
    <r>
      <t>SUM UTSLAG 2016</t>
    </r>
    <r>
      <rPr>
        <b/>
        <sz val="11"/>
        <color indexed="10"/>
        <rFont val="Arial"/>
        <family val="2"/>
      </rPr>
      <t xml:space="preserve"> 2)</t>
    </r>
  </si>
  <si>
    <t xml:space="preserve"> * Økte investeringstilskudd med 20 mill. kr </t>
  </si>
  <si>
    <t xml:space="preserve"> * Tilskudd til rydding av utsiktspunkt på Vestlandet med 20 mill. kr</t>
  </si>
  <si>
    <t xml:space="preserve"> *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</si>
</sst>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\ %"/>
    <numFmt numFmtId="166" formatCode="0.000000"/>
  </numFmts>
  <fonts count="4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b/>
      <sz val="11"/>
      <color indexed="61"/>
      <name val="Arial"/>
      <family val="2"/>
    </font>
    <font>
      <b/>
      <u/>
      <sz val="11"/>
      <color indexed="61"/>
      <name val="Arial"/>
      <family val="2"/>
    </font>
    <font>
      <sz val="11"/>
      <color indexed="8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0"/>
      <color rgb="FF0070C0"/>
      <name val="Arial"/>
      <family val="2"/>
    </font>
    <font>
      <b/>
      <i/>
      <sz val="13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b/>
      <u/>
      <sz val="2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5" fillId="0" borderId="0" xfId="0" applyFont="1" applyBorder="1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0" borderId="0" xfId="0" applyFont="1"/>
    <xf numFmtId="0" fontId="7" fillId="0" borderId="0" xfId="0" applyFont="1"/>
    <xf numFmtId="0" fontId="0" fillId="0" borderId="0" xfId="0" quotePrefix="1"/>
    <xf numFmtId="0" fontId="3" fillId="0" borderId="1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0" fillId="0" borderId="0" xfId="0" applyBorder="1"/>
    <xf numFmtId="164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0" fontId="4" fillId="0" borderId="0" xfId="0" applyFont="1" applyFill="1" applyBorder="1"/>
    <xf numFmtId="0" fontId="8" fillId="2" borderId="0" xfId="0" applyFont="1" applyFill="1"/>
    <xf numFmtId="0" fontId="12" fillId="0" borderId="0" xfId="0" applyFont="1" applyFill="1" applyProtection="1">
      <protection locked="0"/>
    </xf>
    <xf numFmtId="0" fontId="10" fillId="3" borderId="0" xfId="0" applyFont="1" applyFill="1" applyBorder="1"/>
    <xf numFmtId="0" fontId="11" fillId="3" borderId="2" xfId="0" applyFont="1" applyFill="1" applyBorder="1"/>
    <xf numFmtId="0" fontId="3" fillId="0" borderId="0" xfId="0" applyFont="1" applyFill="1" applyBorder="1"/>
    <xf numFmtId="0" fontId="12" fillId="2" borderId="0" xfId="0" applyFont="1" applyFill="1" applyProtection="1">
      <protection locked="0"/>
    </xf>
    <xf numFmtId="0" fontId="11" fillId="2" borderId="0" xfId="0" applyFont="1" applyFill="1" applyBorder="1"/>
    <xf numFmtId="0" fontId="10" fillId="4" borderId="0" xfId="0" applyFont="1" applyFill="1" applyBorder="1"/>
    <xf numFmtId="1" fontId="0" fillId="0" borderId="1" xfId="0" applyNumberFormat="1" applyBorder="1"/>
    <xf numFmtId="0" fontId="5" fillId="0" borderId="3" xfId="0" applyFont="1" applyBorder="1"/>
    <xf numFmtId="166" fontId="0" fillId="0" borderId="0" xfId="0" applyNumberFormat="1"/>
    <xf numFmtId="0" fontId="4" fillId="0" borderId="1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" xfId="0" applyFont="1" applyBorder="1"/>
    <xf numFmtId="0" fontId="16" fillId="0" borderId="0" xfId="0" applyFont="1" applyBorder="1"/>
    <xf numFmtId="0" fontId="16" fillId="0" borderId="1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5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16" fillId="0" borderId="4" xfId="0" applyFont="1" applyBorder="1"/>
    <xf numFmtId="0" fontId="18" fillId="0" borderId="4" xfId="0" applyFont="1" applyBorder="1"/>
    <xf numFmtId="0" fontId="3" fillId="0" borderId="4" xfId="0" applyFont="1" applyFill="1" applyBorder="1"/>
    <xf numFmtId="0" fontId="3" fillId="0" borderId="1" xfId="0" applyFont="1" applyFill="1" applyBorder="1"/>
    <xf numFmtId="1" fontId="3" fillId="0" borderId="4" xfId="0" applyNumberFormat="1" applyFont="1" applyBorder="1"/>
    <xf numFmtId="1" fontId="0" fillId="0" borderId="4" xfId="0" applyNumberFormat="1" applyBorder="1"/>
    <xf numFmtId="0" fontId="0" fillId="0" borderId="4" xfId="0" applyBorder="1"/>
    <xf numFmtId="1" fontId="3" fillId="0" borderId="0" xfId="0" applyNumberFormat="1" applyFont="1" applyBorder="1"/>
    <xf numFmtId="1" fontId="0" fillId="0" borderId="0" xfId="0" applyNumberFormat="1" applyBorder="1"/>
    <xf numFmtId="1" fontId="3" fillId="0" borderId="1" xfId="0" applyNumberFormat="1" applyFont="1" applyBorder="1"/>
    <xf numFmtId="1" fontId="4" fillId="0" borderId="0" xfId="0" applyNumberFormat="1" applyFont="1" applyBorder="1"/>
    <xf numFmtId="1" fontId="4" fillId="0" borderId="1" xfId="0" applyNumberFormat="1" applyFont="1" applyBorder="1"/>
    <xf numFmtId="0" fontId="3" fillId="0" borderId="5" xfId="0" applyFont="1" applyBorder="1"/>
    <xf numFmtId="1" fontId="0" fillId="0" borderId="5" xfId="0" applyNumberFormat="1" applyBorder="1"/>
    <xf numFmtId="0" fontId="0" fillId="0" borderId="5" xfId="0" applyBorder="1"/>
    <xf numFmtId="0" fontId="1" fillId="0" borderId="0" xfId="0" applyFont="1" applyBorder="1"/>
    <xf numFmtId="2" fontId="3" fillId="0" borderId="0" xfId="0" applyNumberFormat="1" applyFont="1" applyBorder="1"/>
    <xf numFmtId="164" fontId="3" fillId="0" borderId="0" xfId="0" applyNumberFormat="1" applyFont="1" applyBorder="1"/>
    <xf numFmtId="0" fontId="4" fillId="0" borderId="4" xfId="0" applyFont="1" applyFill="1" applyBorder="1"/>
    <xf numFmtId="0" fontId="11" fillId="4" borderId="0" xfId="0" applyFont="1" applyFill="1" applyBorder="1"/>
    <xf numFmtId="0" fontId="0" fillId="5" borderId="0" xfId="0" applyFill="1"/>
    <xf numFmtId="0" fontId="4" fillId="0" borderId="5" xfId="0" applyFont="1" applyBorder="1"/>
    <xf numFmtId="0" fontId="4" fillId="0" borderId="6" xfId="0" applyFont="1" applyBorder="1"/>
    <xf numFmtId="2" fontId="4" fillId="0" borderId="4" xfId="0" applyNumberFormat="1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2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4" fillId="0" borderId="8" xfId="0" applyFont="1" applyFill="1" applyBorder="1"/>
    <xf numFmtId="0" fontId="17" fillId="0" borderId="2" xfId="0" applyFont="1" applyBorder="1"/>
    <xf numFmtId="0" fontId="5" fillId="0" borderId="6" xfId="0" applyFont="1" applyBorder="1"/>
    <xf numFmtId="0" fontId="5" fillId="0" borderId="2" xfId="0" applyFont="1" applyBorder="1"/>
    <xf numFmtId="0" fontId="16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0" fillId="0" borderId="9" xfId="0" applyBorder="1"/>
    <xf numFmtId="0" fontId="4" fillId="0" borderId="9" xfId="0" applyFont="1" applyFill="1" applyBorder="1"/>
    <xf numFmtId="0" fontId="16" fillId="0" borderId="2" xfId="0" applyFont="1" applyBorder="1"/>
    <xf numFmtId="0" fontId="17" fillId="0" borderId="10" xfId="0" applyFont="1" applyBorder="1"/>
    <xf numFmtId="0" fontId="0" fillId="0" borderId="7" xfId="0" applyBorder="1"/>
    <xf numFmtId="0" fontId="0" fillId="0" borderId="2" xfId="0" applyBorder="1"/>
    <xf numFmtId="1" fontId="5" fillId="0" borderId="2" xfId="0" applyNumberFormat="1" applyFont="1" applyBorder="1"/>
    <xf numFmtId="0" fontId="0" fillId="0" borderId="8" xfId="0" applyBorder="1"/>
    <xf numFmtId="17" fontId="4" fillId="0" borderId="8" xfId="0" applyNumberFormat="1" applyFont="1" applyBorder="1"/>
    <xf numFmtId="164" fontId="0" fillId="0" borderId="0" xfId="0" applyNumberFormat="1" applyBorder="1"/>
    <xf numFmtId="1" fontId="5" fillId="0" borderId="10" xfId="0" applyNumberFormat="1" applyFont="1" applyBorder="1"/>
    <xf numFmtId="0" fontId="16" fillId="0" borderId="8" xfId="0" applyFont="1" applyFill="1" applyBorder="1"/>
    <xf numFmtId="0" fontId="4" fillId="0" borderId="10" xfId="0" applyFont="1" applyBorder="1"/>
    <xf numFmtId="0" fontId="5" fillId="0" borderId="1" xfId="0" applyFont="1" applyFill="1" applyBorder="1"/>
    <xf numFmtId="0" fontId="18" fillId="0" borderId="2" xfId="0" applyFont="1" applyBorder="1"/>
    <xf numFmtId="0" fontId="18" fillId="0" borderId="2" xfId="0" applyFont="1" applyFill="1" applyBorder="1"/>
    <xf numFmtId="0" fontId="18" fillId="0" borderId="10" xfId="0" applyFont="1" applyBorder="1"/>
    <xf numFmtId="0" fontId="3" fillId="0" borderId="10" xfId="0" applyFont="1" applyBorder="1"/>
    <xf numFmtId="0" fontId="5" fillId="0" borderId="7" xfId="0" applyFont="1" applyBorder="1"/>
    <xf numFmtId="17" fontId="4" fillId="0" borderId="9" xfId="0" applyNumberFormat="1" applyFont="1" applyBorder="1"/>
    <xf numFmtId="0" fontId="5" fillId="0" borderId="11" xfId="0" applyFont="1" applyBorder="1"/>
    <xf numFmtId="0" fontId="0" fillId="0" borderId="12" xfId="0" applyBorder="1"/>
    <xf numFmtId="0" fontId="1" fillId="0" borderId="2" xfId="0" applyFont="1" applyBorder="1"/>
    <xf numFmtId="0" fontId="7" fillId="0" borderId="1" xfId="0" applyFont="1" applyBorder="1"/>
    <xf numFmtId="1" fontId="0" fillId="0" borderId="7" xfId="0" applyNumberFormat="1" applyBorder="1"/>
    <xf numFmtId="1" fontId="0" fillId="0" borderId="2" xfId="0" applyNumberFormat="1" applyBorder="1"/>
    <xf numFmtId="1" fontId="0" fillId="0" borderId="10" xfId="0" applyNumberFormat="1" applyBorder="1"/>
    <xf numFmtId="2" fontId="0" fillId="0" borderId="0" xfId="0" applyNumberFormat="1" applyBorder="1"/>
    <xf numFmtId="1" fontId="1" fillId="0" borderId="0" xfId="0" applyNumberFormat="1" applyFont="1" applyBorder="1"/>
    <xf numFmtId="1" fontId="1" fillId="0" borderId="2" xfId="0" applyNumberFormat="1" applyFont="1" applyBorder="1"/>
    <xf numFmtId="1" fontId="9" fillId="0" borderId="1" xfId="0" applyNumberFormat="1" applyFont="1" applyBorder="1"/>
    <xf numFmtId="0" fontId="3" fillId="0" borderId="2" xfId="0" applyFont="1" applyBorder="1"/>
    <xf numFmtId="0" fontId="16" fillId="0" borderId="12" xfId="0" applyFont="1" applyBorder="1"/>
    <xf numFmtId="164" fontId="3" fillId="0" borderId="4" xfId="0" applyNumberFormat="1" applyFont="1" applyBorder="1"/>
    <xf numFmtId="2" fontId="3" fillId="0" borderId="4" xfId="0" applyNumberFormat="1" applyFont="1" applyBorder="1"/>
    <xf numFmtId="0" fontId="15" fillId="2" borderId="0" xfId="0" applyFont="1" applyFill="1" applyProtection="1"/>
    <xf numFmtId="0" fontId="13" fillId="3" borderId="13" xfId="0" applyFont="1" applyFill="1" applyBorder="1" applyProtection="1"/>
    <xf numFmtId="0" fontId="14" fillId="3" borderId="14" xfId="0" applyFont="1" applyFill="1" applyBorder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5" fillId="2" borderId="15" xfId="0" applyFont="1" applyFill="1" applyBorder="1" applyProtection="1"/>
    <xf numFmtId="0" fontId="4" fillId="2" borderId="0" xfId="0" applyFont="1" applyFill="1" applyBorder="1" applyProtection="1"/>
    <xf numFmtId="0" fontId="5" fillId="6" borderId="16" xfId="0" applyFont="1" applyFill="1" applyBorder="1" applyAlignment="1" applyProtection="1">
      <alignment horizontal="right"/>
    </xf>
    <xf numFmtId="2" fontId="4" fillId="6" borderId="5" xfId="0" applyNumberFormat="1" applyFont="1" applyFill="1" applyBorder="1" applyProtection="1"/>
    <xf numFmtId="0" fontId="4" fillId="4" borderId="17" xfId="0" applyFont="1" applyFill="1" applyBorder="1" applyProtection="1"/>
    <xf numFmtId="2" fontId="4" fillId="7" borderId="4" xfId="0" applyNumberFormat="1" applyFont="1" applyFill="1" applyBorder="1" applyAlignment="1" applyProtection="1">
      <alignment horizontal="right"/>
    </xf>
    <xf numFmtId="2" fontId="4" fillId="8" borderId="0" xfId="0" applyNumberFormat="1" applyFont="1" applyFill="1" applyBorder="1" applyProtection="1"/>
    <xf numFmtId="3" fontId="4" fillId="8" borderId="18" xfId="0" applyNumberFormat="1" applyFont="1" applyFill="1" applyBorder="1" applyProtection="1"/>
    <xf numFmtId="0" fontId="4" fillId="4" borderId="19" xfId="0" applyFont="1" applyFill="1" applyBorder="1" applyProtection="1"/>
    <xf numFmtId="2" fontId="4" fillId="7" borderId="0" xfId="0" applyNumberFormat="1" applyFont="1" applyFill="1" applyBorder="1" applyProtection="1"/>
    <xf numFmtId="0" fontId="5" fillId="3" borderId="1" xfId="0" applyFont="1" applyFill="1" applyBorder="1" applyProtection="1"/>
    <xf numFmtId="165" fontId="4" fillId="7" borderId="0" xfId="0" applyNumberFormat="1" applyFont="1" applyFill="1" applyBorder="1" applyAlignment="1" applyProtection="1">
      <alignment horizontal="right"/>
    </xf>
    <xf numFmtId="165" fontId="4" fillId="8" borderId="0" xfId="1" applyNumberFormat="1" applyFont="1" applyFill="1" applyBorder="1" applyProtection="1"/>
    <xf numFmtId="3" fontId="4" fillId="8" borderId="20" xfId="0" applyNumberFormat="1" applyFont="1" applyFill="1" applyBorder="1" applyProtection="1"/>
    <xf numFmtId="3" fontId="5" fillId="6" borderId="20" xfId="0" applyNumberFormat="1" applyFont="1" applyFill="1" applyBorder="1" applyProtection="1"/>
    <xf numFmtId="0" fontId="4" fillId="8" borderId="0" xfId="0" applyFont="1" applyFill="1" applyBorder="1" applyProtection="1"/>
    <xf numFmtId="49" fontId="4" fillId="8" borderId="0" xfId="0" applyNumberFormat="1" applyFont="1" applyFill="1" applyBorder="1" applyAlignment="1" applyProtection="1">
      <alignment horizontal="right"/>
    </xf>
    <xf numFmtId="0" fontId="4" fillId="3" borderId="21" xfId="0" applyFont="1" applyFill="1" applyBorder="1" applyProtection="1"/>
    <xf numFmtId="0" fontId="20" fillId="8" borderId="0" xfId="0" applyFont="1" applyFill="1" applyBorder="1" applyAlignment="1" applyProtection="1">
      <alignment horizontal="left"/>
    </xf>
    <xf numFmtId="3" fontId="5" fillId="6" borderId="16" xfId="0" applyNumberFormat="1" applyFont="1" applyFill="1" applyBorder="1" applyProtection="1"/>
    <xf numFmtId="0" fontId="20" fillId="6" borderId="5" xfId="0" applyFont="1" applyFill="1" applyBorder="1" applyProtection="1"/>
    <xf numFmtId="0" fontId="20" fillId="8" borderId="5" xfId="0" applyFont="1" applyFill="1" applyBorder="1" applyProtection="1"/>
    <xf numFmtId="3" fontId="5" fillId="8" borderId="16" xfId="0" applyNumberFormat="1" applyFont="1" applyFill="1" applyBorder="1" applyProtection="1"/>
    <xf numFmtId="3" fontId="5" fillId="9" borderId="16" xfId="0" applyNumberFormat="1" applyFont="1" applyFill="1" applyBorder="1" applyProtection="1"/>
    <xf numFmtId="49" fontId="4" fillId="9" borderId="5" xfId="0" applyNumberFormat="1" applyFont="1" applyFill="1" applyBorder="1" applyProtection="1"/>
    <xf numFmtId="0" fontId="20" fillId="2" borderId="0" xfId="0" applyFont="1" applyFill="1" applyBorder="1" applyProtection="1"/>
    <xf numFmtId="49" fontId="4" fillId="0" borderId="0" xfId="0" applyNumberFormat="1" applyFont="1" applyFill="1" applyBorder="1" applyProtection="1"/>
    <xf numFmtId="3" fontId="4" fillId="0" borderId="18" xfId="0" applyNumberFormat="1" applyFont="1" applyFill="1" applyBorder="1" applyProtection="1"/>
    <xf numFmtId="0" fontId="5" fillId="0" borderId="0" xfId="0" applyFont="1" applyFill="1" applyBorder="1" applyProtection="1"/>
    <xf numFmtId="3" fontId="5" fillId="0" borderId="18" xfId="0" applyNumberFormat="1" applyFont="1" applyFill="1" applyBorder="1" applyProtection="1"/>
    <xf numFmtId="0" fontId="4" fillId="2" borderId="18" xfId="0" applyFont="1" applyFill="1" applyBorder="1" applyProtection="1"/>
    <xf numFmtId="0" fontId="4" fillId="0" borderId="0" xfId="0" applyFont="1" applyFill="1" applyBorder="1" applyProtection="1"/>
    <xf numFmtId="0" fontId="4" fillId="2" borderId="15" xfId="0" applyFont="1" applyFill="1" applyBorder="1" applyProtection="1"/>
    <xf numFmtId="0" fontId="4" fillId="2" borderId="22" xfId="0" applyFont="1" applyFill="1" applyBorder="1" applyProtection="1"/>
    <xf numFmtId="1" fontId="4" fillId="0" borderId="4" xfId="0" applyNumberFormat="1" applyFont="1" applyBorder="1"/>
    <xf numFmtId="0" fontId="3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Fill="1" applyBorder="1"/>
    <xf numFmtId="3" fontId="4" fillId="2" borderId="0" xfId="0" applyNumberFormat="1" applyFont="1" applyFill="1" applyProtection="1"/>
    <xf numFmtId="3" fontId="4" fillId="2" borderId="0" xfId="0" applyNumberFormat="1" applyFont="1" applyFill="1" applyBorder="1" applyProtection="1"/>
    <xf numFmtId="3" fontId="20" fillId="2" borderId="18" xfId="0" applyNumberFormat="1" applyFont="1" applyFill="1" applyBorder="1" applyProtection="1"/>
    <xf numFmtId="3" fontId="5" fillId="2" borderId="1" xfId="0" applyNumberFormat="1" applyFont="1" applyFill="1" applyBorder="1" applyProtection="1">
      <protection locked="0"/>
    </xf>
    <xf numFmtId="0" fontId="4" fillId="0" borderId="0" xfId="0" applyFont="1" applyProtection="1"/>
    <xf numFmtId="3" fontId="0" fillId="0" borderId="0" xfId="0" applyNumberFormat="1" applyBorder="1"/>
    <xf numFmtId="0" fontId="0" fillId="7" borderId="0" xfId="0" applyFill="1"/>
    <xf numFmtId="0" fontId="5" fillId="7" borderId="0" xfId="0" applyFont="1" applyFill="1" applyBorder="1"/>
    <xf numFmtId="1" fontId="0" fillId="5" borderId="0" xfId="0" applyNumberFormat="1" applyFill="1" applyBorder="1"/>
    <xf numFmtId="16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0" fontId="18" fillId="7" borderId="0" xfId="0" applyFont="1" applyFill="1" applyBorder="1"/>
    <xf numFmtId="0" fontId="18" fillId="7" borderId="2" xfId="0" applyFont="1" applyFill="1" applyBorder="1"/>
    <xf numFmtId="3" fontId="5" fillId="2" borderId="18" xfId="0" applyNumberFormat="1" applyFont="1" applyFill="1" applyBorder="1" applyProtection="1"/>
    <xf numFmtId="0" fontId="4" fillId="0" borderId="0" xfId="0" applyFont="1" applyFill="1" applyProtection="1"/>
    <xf numFmtId="3" fontId="5" fillId="0" borderId="0" xfId="0" applyNumberFormat="1" applyFont="1" applyFill="1" applyProtection="1"/>
    <xf numFmtId="0" fontId="14" fillId="3" borderId="23" xfId="0" applyFont="1" applyFill="1" applyBorder="1" applyProtection="1"/>
    <xf numFmtId="0" fontId="19" fillId="6" borderId="24" xfId="0" applyFont="1" applyFill="1" applyBorder="1" applyProtection="1"/>
    <xf numFmtId="0" fontId="21" fillId="6" borderId="25" xfId="0" applyFont="1" applyFill="1" applyBorder="1" applyAlignment="1" applyProtection="1">
      <alignment horizontal="right"/>
    </xf>
    <xf numFmtId="3" fontId="21" fillId="6" borderId="26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Protection="1"/>
    <xf numFmtId="0" fontId="2" fillId="4" borderId="19" xfId="0" applyFont="1" applyFill="1" applyBorder="1" applyProtection="1"/>
    <xf numFmtId="0" fontId="2" fillId="0" borderId="0" xfId="0" applyFont="1"/>
    <xf numFmtId="0" fontId="35" fillId="0" borderId="0" xfId="0" applyFont="1"/>
    <xf numFmtId="0" fontId="0" fillId="10" borderId="0" xfId="0" applyFill="1"/>
    <xf numFmtId="0" fontId="2" fillId="0" borderId="0" xfId="0" applyFont="1" applyFill="1" applyBorder="1"/>
    <xf numFmtId="0" fontId="13" fillId="6" borderId="27" xfId="0" applyFont="1" applyFill="1" applyBorder="1" applyProtection="1"/>
    <xf numFmtId="165" fontId="4" fillId="7" borderId="0" xfId="1" applyNumberFormat="1" applyFont="1" applyFill="1" applyBorder="1" applyProtection="1"/>
    <xf numFmtId="0" fontId="21" fillId="11" borderId="0" xfId="0" applyFont="1" applyFill="1" applyBorder="1" applyProtection="1"/>
    <xf numFmtId="3" fontId="21" fillId="11" borderId="18" xfId="0" applyNumberFormat="1" applyFont="1" applyFill="1" applyBorder="1" applyProtection="1"/>
    <xf numFmtId="0" fontId="4" fillId="11" borderId="0" xfId="0" applyFont="1" applyFill="1" applyBorder="1" applyProtection="1"/>
    <xf numFmtId="3" fontId="5" fillId="11" borderId="18" xfId="0" applyNumberFormat="1" applyFont="1" applyFill="1" applyBorder="1" applyProtection="1"/>
    <xf numFmtId="0" fontId="10" fillId="8" borderId="28" xfId="0" applyFont="1" applyFill="1" applyBorder="1" applyProtection="1"/>
    <xf numFmtId="3" fontId="10" fillId="8" borderId="16" xfId="0" applyNumberFormat="1" applyFont="1" applyFill="1" applyBorder="1" applyAlignment="1" applyProtection="1">
      <alignment horizontal="right"/>
    </xf>
    <xf numFmtId="0" fontId="11" fillId="3" borderId="13" xfId="0" applyFont="1" applyFill="1" applyBorder="1" applyProtection="1"/>
    <xf numFmtId="0" fontId="12" fillId="0" borderId="14" xfId="0" applyFont="1" applyFill="1" applyBorder="1" applyAlignment="1" applyProtection="1">
      <alignment horizontal="center"/>
      <protection locked="0"/>
    </xf>
    <xf numFmtId="0" fontId="28" fillId="3" borderId="29" xfId="0" applyFont="1" applyFill="1" applyBorder="1" applyProtection="1"/>
    <xf numFmtId="0" fontId="10" fillId="3" borderId="0" xfId="0" applyFont="1" applyFill="1" applyBorder="1" applyProtection="1"/>
    <xf numFmtId="0" fontId="11" fillId="3" borderId="29" xfId="0" applyFont="1" applyFill="1" applyBorder="1" applyProtection="1"/>
    <xf numFmtId="0" fontId="12" fillId="2" borderId="0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Protection="1"/>
    <xf numFmtId="0" fontId="11" fillId="3" borderId="21" xfId="0" applyFont="1" applyFill="1" applyBorder="1" applyProtection="1"/>
    <xf numFmtId="0" fontId="11" fillId="3" borderId="20" xfId="0" applyFont="1" applyFill="1" applyBorder="1" applyProtection="1"/>
    <xf numFmtId="0" fontId="10" fillId="3" borderId="29" xfId="0" applyFont="1" applyFill="1" applyBorder="1" applyProtection="1"/>
    <xf numFmtId="0" fontId="10" fillId="3" borderId="21" xfId="0" applyFont="1" applyFill="1" applyBorder="1" applyProtection="1"/>
    <xf numFmtId="3" fontId="12" fillId="2" borderId="1" xfId="0" applyNumberFormat="1" applyFont="1" applyFill="1" applyBorder="1" applyProtection="1">
      <protection locked="0"/>
    </xf>
    <xf numFmtId="0" fontId="11" fillId="3" borderId="30" xfId="0" applyFont="1" applyFill="1" applyBorder="1" applyProtection="1"/>
    <xf numFmtId="3" fontId="30" fillId="3" borderId="4" xfId="0" applyNumberFormat="1" applyFont="1" applyFill="1" applyBorder="1" applyProtection="1"/>
    <xf numFmtId="3" fontId="10" fillId="3" borderId="4" xfId="0" applyNumberFormat="1" applyFont="1" applyFill="1" applyBorder="1" applyProtection="1"/>
    <xf numFmtId="3" fontId="11" fillId="2" borderId="0" xfId="0" applyNumberFormat="1" applyFont="1" applyFill="1" applyBorder="1" applyProtection="1">
      <protection locked="0"/>
    </xf>
    <xf numFmtId="3" fontId="11" fillId="3" borderId="0" xfId="0" applyNumberFormat="1" applyFont="1" applyFill="1" applyBorder="1" applyProtection="1"/>
    <xf numFmtId="0" fontId="23" fillId="2" borderId="29" xfId="0" applyFont="1" applyFill="1" applyBorder="1" applyProtection="1"/>
    <xf numFmtId="0" fontId="36" fillId="11" borderId="29" xfId="0" applyFont="1" applyFill="1" applyBorder="1" applyProtection="1"/>
    <xf numFmtId="0" fontId="36" fillId="11" borderId="21" xfId="0" applyFont="1" applyFill="1" applyBorder="1" applyProtection="1"/>
    <xf numFmtId="0" fontId="2" fillId="0" borderId="0" xfId="0" applyFont="1" applyBorder="1"/>
    <xf numFmtId="0" fontId="10" fillId="12" borderId="17" xfId="0" applyFont="1" applyFill="1" applyBorder="1" applyProtection="1"/>
    <xf numFmtId="0" fontId="10" fillId="12" borderId="19" xfId="0" applyFont="1" applyFill="1" applyBorder="1" applyProtection="1"/>
    <xf numFmtId="0" fontId="10" fillId="12" borderId="33" xfId="0" applyFont="1" applyFill="1" applyBorder="1" applyProtection="1"/>
    <xf numFmtId="49" fontId="10" fillId="13" borderId="4" xfId="0" applyNumberFormat="1" applyFont="1" applyFill="1" applyBorder="1" applyAlignment="1" applyProtection="1">
      <alignment horizontal="right"/>
    </xf>
    <xf numFmtId="3" fontId="10" fillId="13" borderId="18" xfId="0" applyNumberFormat="1" applyFont="1" applyFill="1" applyBorder="1" applyAlignment="1" applyProtection="1">
      <alignment horizontal="right"/>
    </xf>
    <xf numFmtId="49" fontId="10" fillId="13" borderId="0" xfId="0" applyNumberFormat="1" applyFont="1" applyFill="1" applyBorder="1" applyAlignment="1" applyProtection="1">
      <alignment horizontal="right"/>
    </xf>
    <xf numFmtId="49" fontId="10" fillId="13" borderId="9" xfId="0" applyNumberFormat="1" applyFont="1" applyFill="1" applyBorder="1" applyAlignment="1" applyProtection="1">
      <alignment horizontal="right"/>
    </xf>
    <xf numFmtId="3" fontId="10" fillId="13" borderId="20" xfId="0" applyNumberFormat="1" applyFont="1" applyFill="1" applyBorder="1" applyAlignment="1" applyProtection="1">
      <alignment horizontal="right"/>
    </xf>
    <xf numFmtId="0" fontId="10" fillId="13" borderId="0" xfId="0" applyFont="1" applyFill="1" applyBorder="1" applyProtection="1"/>
    <xf numFmtId="0" fontId="26" fillId="13" borderId="0" xfId="0" applyFont="1" applyFill="1" applyBorder="1" applyAlignment="1" applyProtection="1">
      <alignment horizontal="left"/>
    </xf>
    <xf numFmtId="0" fontId="26" fillId="13" borderId="0" xfId="0" applyFont="1" applyFill="1" applyBorder="1" applyProtection="1"/>
    <xf numFmtId="0" fontId="2" fillId="13" borderId="0" xfId="0" applyFont="1" applyFill="1" applyBorder="1" applyProtection="1"/>
    <xf numFmtId="3" fontId="5" fillId="13" borderId="18" xfId="0" applyNumberFormat="1" applyFont="1" applyFill="1" applyBorder="1" applyProtection="1"/>
    <xf numFmtId="0" fontId="22" fillId="14" borderId="5" xfId="0" applyFont="1" applyFill="1" applyBorder="1" applyProtection="1"/>
    <xf numFmtId="0" fontId="32" fillId="15" borderId="28" xfId="0" applyFont="1" applyFill="1" applyBorder="1" applyProtection="1"/>
    <xf numFmtId="0" fontId="8" fillId="15" borderId="5" xfId="0" applyFont="1" applyFill="1" applyBorder="1" applyProtection="1"/>
    <xf numFmtId="3" fontId="32" fillId="15" borderId="16" xfId="0" applyNumberFormat="1" applyFont="1" applyFill="1" applyBorder="1" applyAlignment="1" applyProtection="1">
      <alignment horizontal="right"/>
    </xf>
    <xf numFmtId="0" fontId="34" fillId="15" borderId="5" xfId="0" applyFont="1" applyFill="1" applyBorder="1" applyProtection="1"/>
    <xf numFmtId="3" fontId="32" fillId="15" borderId="20" xfId="0" applyNumberFormat="1" applyFont="1" applyFill="1" applyBorder="1" applyAlignment="1" applyProtection="1">
      <alignment horizontal="right"/>
    </xf>
    <xf numFmtId="3" fontId="37" fillId="15" borderId="16" xfId="0" applyNumberFormat="1" applyFont="1" applyFill="1" applyBorder="1" applyProtection="1"/>
    <xf numFmtId="0" fontId="21" fillId="14" borderId="34" xfId="0" applyFont="1" applyFill="1" applyBorder="1" applyProtection="1"/>
    <xf numFmtId="3" fontId="21" fillId="14" borderId="16" xfId="0" applyNumberFormat="1" applyFont="1" applyFill="1" applyBorder="1" applyProtection="1"/>
    <xf numFmtId="0" fontId="21" fillId="14" borderId="17" xfId="0" applyFont="1" applyFill="1" applyBorder="1" applyProtection="1"/>
    <xf numFmtId="0" fontId="22" fillId="14" borderId="4" xfId="0" applyFont="1" applyFill="1" applyBorder="1" applyProtection="1"/>
    <xf numFmtId="3" fontId="21" fillId="14" borderId="31" xfId="0" applyNumberFormat="1" applyFont="1" applyFill="1" applyBorder="1" applyAlignment="1" applyProtection="1">
      <alignment horizontal="right"/>
    </xf>
    <xf numFmtId="3" fontId="38" fillId="13" borderId="18" xfId="0" applyNumberFormat="1" applyFont="1" applyFill="1" applyBorder="1" applyProtection="1"/>
    <xf numFmtId="0" fontId="31" fillId="12" borderId="19" xfId="0" applyFont="1" applyFill="1" applyBorder="1" applyProtection="1"/>
    <xf numFmtId="0" fontId="2" fillId="0" borderId="8" xfId="0" applyFont="1" applyFill="1" applyBorder="1"/>
    <xf numFmtId="1" fontId="2" fillId="0" borderId="0" xfId="0" applyNumberFormat="1" applyFont="1" applyFill="1" applyBorder="1"/>
    <xf numFmtId="3" fontId="0" fillId="0" borderId="5" xfId="0" applyNumberFormat="1" applyBorder="1"/>
    <xf numFmtId="2" fontId="10" fillId="8" borderId="5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12" fillId="2" borderId="1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0" fontId="2" fillId="0" borderId="4" xfId="0" applyFont="1" applyBorder="1"/>
    <xf numFmtId="0" fontId="2" fillId="0" borderId="1" xfId="0" applyFont="1" applyFill="1" applyBorder="1"/>
    <xf numFmtId="3" fontId="16" fillId="0" borderId="1" xfId="0" applyNumberFormat="1" applyFont="1" applyBorder="1"/>
    <xf numFmtId="1" fontId="3" fillId="0" borderId="0" xfId="0" applyNumberFormat="1" applyFont="1" applyFill="1" applyBorder="1"/>
    <xf numFmtId="1" fontId="0" fillId="0" borderId="0" xfId="0" applyNumberFormat="1" applyFill="1" applyBorder="1"/>
    <xf numFmtId="0" fontId="2" fillId="0" borderId="8" xfId="0" applyFont="1" applyBorder="1"/>
    <xf numFmtId="0" fontId="0" fillId="0" borderId="0" xfId="0" applyAlignment="1">
      <alignment horizontal="left"/>
    </xf>
    <xf numFmtId="0" fontId="2" fillId="0" borderId="9" xfId="0" applyFont="1" applyBorder="1"/>
    <xf numFmtId="3" fontId="12" fillId="0" borderId="0" xfId="0" applyNumberFormat="1" applyFont="1" applyFill="1" applyBorder="1" applyProtection="1">
      <protection locked="0"/>
    </xf>
    <xf numFmtId="3" fontId="4" fillId="0" borderId="1" xfId="0" applyNumberFormat="1" applyFont="1" applyBorder="1"/>
    <xf numFmtId="165" fontId="2" fillId="13" borderId="0" xfId="0" applyNumberFormat="1" applyFont="1" applyFill="1" applyBorder="1" applyProtection="1"/>
    <xf numFmtId="0" fontId="39" fillId="0" borderId="0" xfId="0" applyFont="1" applyFill="1" applyProtection="1"/>
    <xf numFmtId="3" fontId="11" fillId="2" borderId="1" xfId="0" applyNumberFormat="1" applyFont="1" applyFill="1" applyBorder="1" applyProtection="1">
      <protection locked="0"/>
    </xf>
    <xf numFmtId="3" fontId="11" fillId="16" borderId="0" xfId="0" applyNumberFormat="1" applyFont="1" applyFill="1" applyBorder="1" applyProtection="1">
      <protection locked="0"/>
    </xf>
    <xf numFmtId="3" fontId="12" fillId="16" borderId="0" xfId="0" applyNumberFormat="1" applyFont="1" applyFill="1" applyBorder="1" applyProtection="1">
      <protection locked="0"/>
    </xf>
    <xf numFmtId="2" fontId="40" fillId="7" borderId="0" xfId="0" applyNumberFormat="1" applyFont="1" applyFill="1" applyBorder="1" applyProtection="1"/>
    <xf numFmtId="3" fontId="11" fillId="2" borderId="15" xfId="0" applyNumberFormat="1" applyFont="1" applyFill="1" applyBorder="1" applyProtection="1">
      <protection locked="0"/>
    </xf>
    <xf numFmtId="0" fontId="11" fillId="17" borderId="29" xfId="0" applyFont="1" applyFill="1" applyBorder="1" applyProtection="1"/>
    <xf numFmtId="0" fontId="10" fillId="17" borderId="29" xfId="0" applyFont="1" applyFill="1" applyBorder="1" applyProtection="1"/>
    <xf numFmtId="0" fontId="10" fillId="17" borderId="32" xfId="0" applyFont="1" applyFill="1" applyBorder="1" applyProtection="1"/>
    <xf numFmtId="3" fontId="12" fillId="17" borderId="0" xfId="0" applyNumberFormat="1" applyFont="1" applyFill="1" applyBorder="1" applyProtection="1">
      <protection locked="0"/>
    </xf>
    <xf numFmtId="0" fontId="11" fillId="17" borderId="18" xfId="0" applyFont="1" applyFill="1" applyBorder="1" applyProtection="1"/>
    <xf numFmtId="0" fontId="4" fillId="16" borderId="0" xfId="0" applyFont="1" applyFill="1" applyProtection="1"/>
    <xf numFmtId="164" fontId="0" fillId="10" borderId="0" xfId="0" applyNumberFormat="1" applyFill="1"/>
    <xf numFmtId="3" fontId="11" fillId="0" borderId="1" xfId="0" applyNumberFormat="1" applyFont="1" applyFill="1" applyBorder="1" applyProtection="1">
      <protection locked="0"/>
    </xf>
    <xf numFmtId="0" fontId="10" fillId="3" borderId="34" xfId="0" applyFont="1" applyFill="1" applyBorder="1" applyProtection="1"/>
    <xf numFmtId="3" fontId="12" fillId="0" borderId="5" xfId="0" applyNumberFormat="1" applyFont="1" applyFill="1" applyBorder="1" applyProtection="1">
      <protection locked="0"/>
    </xf>
    <xf numFmtId="0" fontId="23" fillId="2" borderId="32" xfId="0" applyFont="1" applyFill="1" applyBorder="1" applyProtection="1"/>
    <xf numFmtId="0" fontId="20" fillId="2" borderId="15" xfId="0" applyFont="1" applyFill="1" applyBorder="1" applyProtection="1"/>
    <xf numFmtId="3" fontId="20" fillId="2" borderId="22" xfId="0" applyNumberFormat="1" applyFont="1" applyFill="1" applyBorder="1" applyProtection="1"/>
    <xf numFmtId="0" fontId="10" fillId="12" borderId="19" xfId="0" applyFont="1" applyFill="1" applyBorder="1" applyAlignment="1" applyProtection="1"/>
    <xf numFmtId="0" fontId="13" fillId="6" borderId="35" xfId="0" applyFont="1" applyFill="1" applyBorder="1" applyAlignment="1" applyProtection="1">
      <alignment horizontal="center"/>
    </xf>
    <xf numFmtId="0" fontId="13" fillId="6" borderId="23" xfId="0" applyFont="1" applyFill="1" applyBorder="1" applyAlignment="1" applyProtection="1">
      <alignment horizontal="center"/>
    </xf>
    <xf numFmtId="0" fontId="5" fillId="6" borderId="25" xfId="0" applyFont="1" applyFill="1" applyBorder="1" applyAlignment="1" applyProtection="1">
      <alignment horizontal="right"/>
    </xf>
    <xf numFmtId="0" fontId="4" fillId="6" borderId="26" xfId="0" applyFont="1" applyFill="1" applyBorder="1" applyAlignment="1" applyProtection="1">
      <alignment horizontal="right"/>
    </xf>
    <xf numFmtId="3" fontId="0" fillId="0" borderId="4" xfId="0" applyNumberFormat="1" applyBorder="1"/>
    <xf numFmtId="0" fontId="2" fillId="0" borderId="6" xfId="0" applyFont="1" applyBorder="1"/>
    <xf numFmtId="0" fontId="11" fillId="17" borderId="0" xfId="0" applyFont="1" applyFill="1" applyBorder="1" applyProtection="1"/>
    <xf numFmtId="0" fontId="27" fillId="3" borderId="14" xfId="0" applyFont="1" applyFill="1" applyBorder="1" applyProtection="1"/>
    <xf numFmtId="0" fontId="10" fillId="3" borderId="1" xfId="0" applyFont="1" applyFill="1" applyBorder="1" applyProtection="1"/>
    <xf numFmtId="0" fontId="11" fillId="3" borderId="0" xfId="0" applyFont="1" applyFill="1" applyBorder="1" applyProtection="1"/>
    <xf numFmtId="0" fontId="11" fillId="3" borderId="1" xfId="0" applyFont="1" applyFill="1" applyBorder="1" applyProtection="1"/>
    <xf numFmtId="0" fontId="27" fillId="3" borderId="4" xfId="0" applyFont="1" applyFill="1" applyBorder="1" applyProtection="1"/>
    <xf numFmtId="0" fontId="11" fillId="3" borderId="4" xfId="0" applyFont="1" applyFill="1" applyBorder="1" applyProtection="1"/>
    <xf numFmtId="0" fontId="11" fillId="3" borderId="5" xfId="0" applyFont="1" applyFill="1" applyBorder="1" applyProtection="1"/>
    <xf numFmtId="0" fontId="11" fillId="17" borderId="15" xfId="0" applyFont="1" applyFill="1" applyBorder="1" applyProtection="1"/>
    <xf numFmtId="3" fontId="4" fillId="2" borderId="22" xfId="0" applyNumberFormat="1" applyFont="1" applyFill="1" applyBorder="1" applyProtection="1"/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/>
  <dimension ref="A1:AH299"/>
  <sheetViews>
    <sheetView topLeftCell="A145" workbookViewId="0">
      <selection activeCell="F165" sqref="F165"/>
    </sheetView>
  </sheetViews>
  <sheetFormatPr baseColWidth="10" defaultColWidth="9.140625" defaultRowHeight="12.75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9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</row>
    <row r="4" spans="1:9">
      <c r="A4" s="73" t="s">
        <v>47</v>
      </c>
      <c r="B4" s="5" t="s">
        <v>88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97">
        <v>0</v>
      </c>
    </row>
    <row r="5" spans="1:9">
      <c r="A5" s="73"/>
      <c r="B5" s="21" t="s">
        <v>82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0</v>
      </c>
      <c r="I5" s="98">
        <v>0</v>
      </c>
    </row>
    <row r="6" spans="1:9">
      <c r="A6" s="73" t="s">
        <v>50</v>
      </c>
      <c r="B6" s="21" t="s">
        <v>89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98">
        <v>0</v>
      </c>
    </row>
    <row r="7" spans="1:9">
      <c r="A7" s="73"/>
      <c r="B7" s="21" t="s">
        <v>91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98">
        <v>0</v>
      </c>
    </row>
    <row r="8" spans="1:9">
      <c r="A8" s="73" t="s">
        <v>48</v>
      </c>
      <c r="B8" s="5" t="s">
        <v>90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97">
        <v>0</v>
      </c>
    </row>
    <row r="9" spans="1:9">
      <c r="A9" s="73"/>
      <c r="B9" s="3" t="s">
        <v>92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99">
        <v>0</v>
      </c>
    </row>
    <row r="10" spans="1:9">
      <c r="A10" s="73" t="s">
        <v>62</v>
      </c>
      <c r="B10" s="21" t="s">
        <v>84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97">
        <v>0</v>
      </c>
    </row>
    <row r="11" spans="1:9">
      <c r="A11" s="73"/>
      <c r="B11" s="21" t="s">
        <v>85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9">
      <c r="A12" s="73"/>
      <c r="B12" s="21" t="s">
        <v>83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97">
        <v>0</v>
      </c>
    </row>
    <row r="13" spans="1:9">
      <c r="A13" s="73" t="s">
        <v>145</v>
      </c>
      <c r="B13" s="21" t="s">
        <v>84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9">
      <c r="A14" s="90"/>
      <c r="B14" s="5" t="s">
        <v>86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97">
        <v>0</v>
      </c>
    </row>
    <row r="15" spans="1:9">
      <c r="A15" s="5"/>
      <c r="B15" s="21" t="s">
        <v>87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14">
        <v>0</v>
      </c>
    </row>
    <row r="16" spans="1:9">
      <c r="A16" s="73" t="s">
        <v>143</v>
      </c>
      <c r="B16" s="21" t="s">
        <v>84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97">
        <v>0</v>
      </c>
    </row>
    <row r="17" spans="1:10">
      <c r="A17" s="90"/>
      <c r="B17" s="5" t="s">
        <v>86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97">
        <v>0</v>
      </c>
    </row>
    <row r="18" spans="1:10">
      <c r="A18" s="74"/>
      <c r="B18" s="33" t="s">
        <v>87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00">
        <v>0</v>
      </c>
    </row>
    <row r="19" spans="1:10">
      <c r="A19" s="5"/>
      <c r="B19" s="21"/>
      <c r="C19" s="15"/>
      <c r="D19" s="15"/>
      <c r="E19" s="15"/>
      <c r="F19" s="15"/>
      <c r="G19" s="15"/>
      <c r="H19" s="15"/>
      <c r="I19" s="15"/>
    </row>
    <row r="20" spans="1:10">
      <c r="A20" s="1"/>
      <c r="B20" s="2"/>
      <c r="C20" s="1"/>
      <c r="D20" s="1"/>
      <c r="E20" s="1"/>
      <c r="F20" s="1"/>
      <c r="G20" s="1"/>
      <c r="H20" s="1"/>
      <c r="I20" s="1"/>
    </row>
    <row r="21" spans="1:10">
      <c r="A21" s="66"/>
      <c r="B21" s="41" t="s">
        <v>144</v>
      </c>
      <c r="C21" s="42"/>
      <c r="D21" s="42"/>
      <c r="E21" s="68"/>
      <c r="F21" s="5"/>
      <c r="G21" s="5"/>
      <c r="H21" s="1"/>
      <c r="I21" s="1"/>
    </row>
    <row r="22" spans="1:10" ht="15">
      <c r="A22" s="73" t="s">
        <v>47</v>
      </c>
      <c r="B22" s="42" t="s">
        <v>88</v>
      </c>
      <c r="C22" s="44">
        <f>IF((Satser!I18+Satser!I19*0.6)&lt;200,(Satser!I18+Satser!I19*0.6),200)</f>
        <v>0</v>
      </c>
      <c r="D22" s="44" t="e">
        <f>HLOOKUP(#REF!,AK_korn3,2)</f>
        <v>#REF!</v>
      </c>
      <c r="E22" s="80" t="e">
        <f t="shared" ref="E22:E32" si="0">C22*D22</f>
        <v>#REF!</v>
      </c>
      <c r="F22" s="37"/>
      <c r="G22" s="5"/>
      <c r="H22" s="24" t="s">
        <v>47</v>
      </c>
      <c r="I22" s="23" t="e">
        <f>#REF!</f>
        <v>#REF!</v>
      </c>
      <c r="J22" s="25" t="s">
        <v>3</v>
      </c>
    </row>
    <row r="23" spans="1:10" ht="15">
      <c r="A23" s="73"/>
      <c r="B23" s="33" t="s">
        <v>82</v>
      </c>
      <c r="C23" s="38">
        <f>IF(C22=200,(I22+I23*0.6)-200,0)</f>
        <v>0</v>
      </c>
      <c r="D23" s="38" t="e">
        <f>HLOOKUP(#REF!,AK_korn3,3)</f>
        <v>#REF!</v>
      </c>
      <c r="E23" s="80" t="e">
        <f t="shared" si="0"/>
        <v>#REF!</v>
      </c>
      <c r="F23" s="37"/>
      <c r="G23" s="5"/>
      <c r="H23" s="24" t="s">
        <v>52</v>
      </c>
      <c r="I23" s="23" t="e">
        <f>#REF!</f>
        <v>#REF!</v>
      </c>
      <c r="J23" s="25" t="s">
        <v>3</v>
      </c>
    </row>
    <row r="24" spans="1:10">
      <c r="A24" s="73" t="s">
        <v>50</v>
      </c>
      <c r="B24" s="62" t="s">
        <v>89</v>
      </c>
      <c r="C24" s="38" t="e">
        <f>IF((#REF!)&lt;150,(#REF!),150)</f>
        <v>#REF!</v>
      </c>
      <c r="D24" s="44" t="e">
        <f>HLOOKUP(#REF!,AK_korn3,4)</f>
        <v>#REF!</v>
      </c>
      <c r="E24" s="80" t="e">
        <f t="shared" si="0"/>
        <v>#REF!</v>
      </c>
      <c r="F24" s="37"/>
      <c r="G24" s="5"/>
      <c r="H24" s="1"/>
      <c r="I24" s="1"/>
    </row>
    <row r="25" spans="1:10">
      <c r="A25" s="73"/>
      <c r="B25" s="33" t="s">
        <v>91</v>
      </c>
      <c r="C25" s="38" t="e">
        <f>IF((#REF!)&gt;150,(#REF!)-150)</f>
        <v>#REF!</v>
      </c>
      <c r="D25" s="38" t="e">
        <f>HLOOKUP(#REF!,AK_korn3,5)</f>
        <v>#REF!</v>
      </c>
      <c r="E25" s="80" t="e">
        <f t="shared" si="0"/>
        <v>#REF!</v>
      </c>
      <c r="F25" s="37"/>
      <c r="G25" s="5"/>
      <c r="H25" s="1"/>
      <c r="I25" s="1"/>
    </row>
    <row r="26" spans="1:10">
      <c r="A26" s="73" t="s">
        <v>48</v>
      </c>
      <c r="B26" s="42" t="s">
        <v>90</v>
      </c>
      <c r="C26" s="44" t="e">
        <f>IF((#REF!)&lt;800,(#REF!),800)</f>
        <v>#REF!</v>
      </c>
      <c r="D26" s="44" t="e">
        <f>HLOOKUP(#REF!,AK_korn3,6)</f>
        <v>#REF!</v>
      </c>
      <c r="E26" s="80" t="e">
        <f t="shared" si="0"/>
        <v>#REF!</v>
      </c>
      <c r="F26" s="37"/>
      <c r="G26" s="5"/>
      <c r="H26" s="1"/>
    </row>
    <row r="27" spans="1:10">
      <c r="A27" s="73"/>
      <c r="B27" s="5" t="s">
        <v>92</v>
      </c>
      <c r="C27" s="37" t="e">
        <f>IF((#REF!)&lt;800,0,(#REF!)-800)</f>
        <v>#REF!</v>
      </c>
      <c r="D27" s="37" t="e">
        <f>HLOOKUP(#REF!,AK_korn3,7)</f>
        <v>#REF!</v>
      </c>
      <c r="E27" s="80" t="e">
        <f t="shared" si="0"/>
        <v>#REF!</v>
      </c>
      <c r="F27" s="37"/>
      <c r="G27" s="5"/>
      <c r="H27" s="1"/>
    </row>
    <row r="28" spans="1:10">
      <c r="A28" s="73" t="s">
        <v>62</v>
      </c>
      <c r="B28" s="62" t="s">
        <v>84</v>
      </c>
      <c r="C28" s="44" t="e">
        <f>IF((#REF!)&lt;30,(#REF!),30)</f>
        <v>#REF!</v>
      </c>
      <c r="D28" s="44" t="e">
        <f>HLOOKUP(#REF!,AK_korn3,8)</f>
        <v>#REF!</v>
      </c>
      <c r="E28" s="80" t="e">
        <f t="shared" si="0"/>
        <v>#REF!</v>
      </c>
      <c r="F28" s="39"/>
      <c r="G28" s="5"/>
      <c r="H28" s="1"/>
    </row>
    <row r="29" spans="1:10">
      <c r="A29" s="73"/>
      <c r="B29" s="21" t="s">
        <v>85</v>
      </c>
      <c r="C29" s="37" t="e">
        <f>IF(AND(C28=30,C30=0),#REF!-30,IF(C30&gt;0,30,0))</f>
        <v>#REF!</v>
      </c>
      <c r="D29" s="44" t="e">
        <f>HLOOKUP(#REF!,AK_korn3,9)</f>
        <v>#REF!</v>
      </c>
      <c r="E29" s="80" t="e">
        <f t="shared" si="0"/>
        <v>#REF!</v>
      </c>
      <c r="F29" s="39"/>
      <c r="G29" s="5"/>
      <c r="H29" s="1"/>
    </row>
    <row r="30" spans="1:10">
      <c r="A30" s="73"/>
      <c r="B30" s="21" t="s">
        <v>83</v>
      </c>
      <c r="C30" s="37" t="e">
        <f>IF(#REF!&gt;60,#REF!-60,0)</f>
        <v>#REF!</v>
      </c>
      <c r="D30" s="44" t="e">
        <f>HLOOKUP(#REF!,AK_korn3,10)</f>
        <v>#REF!</v>
      </c>
      <c r="E30" s="80" t="e">
        <f t="shared" si="0"/>
        <v>#REF!</v>
      </c>
      <c r="F30" s="39"/>
      <c r="G30" s="5"/>
      <c r="H30" s="1"/>
    </row>
    <row r="31" spans="1:10">
      <c r="A31" s="73" t="s">
        <v>145</v>
      </c>
      <c r="B31" s="62" t="s">
        <v>84</v>
      </c>
      <c r="C31" s="44" t="e">
        <f>IF((#REF!)&lt;30,(#REF!),30)</f>
        <v>#REF!</v>
      </c>
      <c r="D31" s="44" t="e">
        <f>HLOOKUP(#REF!,AK_korn3,11)</f>
        <v>#REF!</v>
      </c>
      <c r="E31" s="80" t="e">
        <f t="shared" si="0"/>
        <v>#REF!</v>
      </c>
      <c r="F31" s="39"/>
      <c r="G31" s="5"/>
      <c r="H31" s="1"/>
    </row>
    <row r="32" spans="1:10">
      <c r="A32" s="90"/>
      <c r="B32" s="5" t="s">
        <v>86</v>
      </c>
      <c r="C32" s="37" t="e">
        <f>IF(C30&lt;30,0,IF((#REF!)&gt;40,10,(#REF!)-30))</f>
        <v>#REF!</v>
      </c>
      <c r="D32" s="37" t="e">
        <f>HLOOKUP(#REF!,AK_korn3,12)</f>
        <v>#REF!</v>
      </c>
      <c r="E32" s="80" t="e">
        <f t="shared" si="0"/>
        <v>#REF!</v>
      </c>
      <c r="F32" s="17"/>
      <c r="G32" s="5"/>
      <c r="H32" s="1"/>
    </row>
    <row r="33" spans="1:8">
      <c r="A33" s="90"/>
      <c r="B33" s="33" t="s">
        <v>87</v>
      </c>
      <c r="C33" s="38" t="e">
        <f>IF(#REF!&gt;40,#REF!-40,0)</f>
        <v>#REF!</v>
      </c>
      <c r="D33" s="38" t="e">
        <f>HLOOKUP(#REF!,AK_korn3,13)</f>
        <v>#REF!</v>
      </c>
      <c r="E33" s="115" t="e">
        <f>C33*D33</f>
        <v>#REF!</v>
      </c>
      <c r="F33" s="39"/>
      <c r="G33" s="5"/>
      <c r="H33" s="1"/>
    </row>
    <row r="34" spans="1:8">
      <c r="A34" s="73" t="s">
        <v>143</v>
      </c>
      <c r="B34" s="62" t="s">
        <v>84</v>
      </c>
      <c r="C34" s="44" t="e">
        <f>IF((#REF!)&lt;30,(#REF!),30)</f>
        <v>#REF!</v>
      </c>
      <c r="D34" s="44" t="e">
        <f>HLOOKUP(#REF!,AK_korn3,11)</f>
        <v>#REF!</v>
      </c>
      <c r="E34" s="80" t="e">
        <f>C34*D34</f>
        <v>#REF!</v>
      </c>
      <c r="F34" s="17"/>
      <c r="G34" s="5"/>
      <c r="H34" s="1"/>
    </row>
    <row r="35" spans="1:8">
      <c r="A35" s="90"/>
      <c r="B35" s="5" t="s">
        <v>86</v>
      </c>
      <c r="C35" s="37" t="e">
        <f>IF(C34&lt;30,0,IF((#REF!)&gt;40,10,(#REF!)-30))</f>
        <v>#REF!</v>
      </c>
      <c r="D35" s="37" t="e">
        <f>HLOOKUP(#REF!,AK_korn3,12)</f>
        <v>#REF!</v>
      </c>
      <c r="E35" s="80" t="e">
        <f>C35*D35</f>
        <v>#REF!</v>
      </c>
      <c r="F35" s="17"/>
      <c r="G35" s="5"/>
      <c r="H35" s="1"/>
    </row>
    <row r="36" spans="1:8">
      <c r="A36" s="90"/>
      <c r="B36" s="33" t="s">
        <v>87</v>
      </c>
      <c r="C36" s="38" t="e">
        <f>IF(#REF!&gt;40,#REF!-40,0)</f>
        <v>#REF!</v>
      </c>
      <c r="D36" s="38" t="e">
        <f>HLOOKUP(#REF!,AK_korn3,13)</f>
        <v>#REF!</v>
      </c>
      <c r="E36" s="115" t="e">
        <f>C36*D36</f>
        <v>#REF!</v>
      </c>
      <c r="F36" s="17"/>
      <c r="G36" s="5"/>
      <c r="H36" s="21"/>
    </row>
    <row r="37" spans="1:8">
      <c r="A37" s="83"/>
      <c r="B37" s="96" t="s">
        <v>124</v>
      </c>
      <c r="C37" s="3"/>
      <c r="D37" s="3"/>
      <c r="E37" s="86" t="e">
        <f>SUM(E22:E36)</f>
        <v>#REF!</v>
      </c>
      <c r="F37" s="6"/>
      <c r="G37" s="5"/>
      <c r="H37" s="5"/>
    </row>
    <row r="38" spans="1:8">
      <c r="B38" s="5"/>
      <c r="C38" s="5"/>
      <c r="D38" s="5"/>
      <c r="E38" s="5"/>
      <c r="F38" s="3"/>
      <c r="G38" s="5"/>
      <c r="H38" s="21"/>
    </row>
    <row r="39" spans="1:8">
      <c r="A39" s="1"/>
      <c r="B39" s="66"/>
      <c r="C39" s="42"/>
      <c r="D39" s="42"/>
      <c r="E39" s="67"/>
      <c r="F39" s="70"/>
      <c r="G39" s="1"/>
      <c r="H39" s="17"/>
    </row>
    <row r="40" spans="1:8">
      <c r="A40" s="1"/>
      <c r="B40" s="69" t="s">
        <v>19</v>
      </c>
      <c r="C40" s="5"/>
      <c r="D40" s="5"/>
      <c r="E40" s="5"/>
      <c r="F40" s="70"/>
      <c r="G40" s="1"/>
    </row>
    <row r="41" spans="1:8">
      <c r="A41" s="1"/>
      <c r="B41" s="71" t="s">
        <v>20</v>
      </c>
      <c r="C41" s="4" t="s">
        <v>21</v>
      </c>
      <c r="D41" s="4" t="s">
        <v>22</v>
      </c>
      <c r="E41" s="4" t="s">
        <v>0</v>
      </c>
      <c r="F41" s="72" t="s">
        <v>1</v>
      </c>
      <c r="G41" s="1"/>
    </row>
    <row r="42" spans="1:8">
      <c r="A42" s="1"/>
      <c r="B42" s="69" t="s">
        <v>4</v>
      </c>
      <c r="C42" s="5"/>
      <c r="D42" s="5"/>
      <c r="E42" s="5"/>
      <c r="F42" s="70"/>
      <c r="G42" s="1"/>
    </row>
    <row r="43" spans="1:8">
      <c r="A43" s="1"/>
      <c r="B43" s="73" t="s">
        <v>39</v>
      </c>
      <c r="C43" s="5" t="e">
        <f>IF(#REF!&lt;17,#REF!,16)</f>
        <v>#REF!</v>
      </c>
      <c r="D43" s="15">
        <v>0</v>
      </c>
      <c r="E43" s="5" t="e">
        <f>C43*D43</f>
        <v>#REF!</v>
      </c>
      <c r="F43" s="70"/>
      <c r="G43" s="1"/>
    </row>
    <row r="44" spans="1:8">
      <c r="A44" s="1"/>
      <c r="B44" s="73" t="s">
        <v>24</v>
      </c>
      <c r="C44" s="5" t="e">
        <f>IF(#REF!&lt;17,0,IF(#REF!&lt;26,#REF!-16,9))</f>
        <v>#REF!</v>
      </c>
      <c r="D44" s="15">
        <v>0</v>
      </c>
      <c r="E44" s="5" t="e">
        <f>C44*D44</f>
        <v>#REF!</v>
      </c>
      <c r="F44" s="70"/>
      <c r="G44" s="1"/>
    </row>
    <row r="45" spans="1:8">
      <c r="A45" s="1"/>
      <c r="B45" s="74" t="s">
        <v>40</v>
      </c>
      <c r="C45" s="3" t="e">
        <f>IF(#REF!&lt;26,0,IF(#REF!&lt;51,#REF!-25,25))</f>
        <v>#REF!</v>
      </c>
      <c r="D45" s="14">
        <v>0</v>
      </c>
      <c r="E45" s="3" t="e">
        <f>C45*D45</f>
        <v>#REF!</v>
      </c>
      <c r="F45" s="75"/>
      <c r="G45" s="1"/>
    </row>
    <row r="46" spans="1:8">
      <c r="A46" s="1"/>
      <c r="B46" s="76" t="s">
        <v>125</v>
      </c>
      <c r="C46" s="37"/>
      <c r="D46" s="34"/>
      <c r="E46" s="37"/>
      <c r="F46" s="77" t="e">
        <f>SUM(E43:E45)</f>
        <v>#REF!</v>
      </c>
      <c r="G46" s="1"/>
    </row>
    <row r="47" spans="1:8">
      <c r="A47" s="1"/>
      <c r="B47" s="78" t="s">
        <v>6</v>
      </c>
      <c r="C47" s="42"/>
      <c r="D47" s="43"/>
      <c r="E47" s="42"/>
      <c r="F47" s="68"/>
      <c r="G47" s="1"/>
    </row>
    <row r="48" spans="1:8">
      <c r="A48" s="1"/>
      <c r="B48" s="73" t="s">
        <v>93</v>
      </c>
      <c r="C48" s="5" t="e">
        <f>IF(#REF!&lt;50,#REF!,50)</f>
        <v>#REF!</v>
      </c>
      <c r="D48" s="15">
        <v>0</v>
      </c>
      <c r="E48" s="5" t="e">
        <f>C48*D48</f>
        <v>#REF!</v>
      </c>
      <c r="F48" s="79"/>
      <c r="G48" s="1"/>
    </row>
    <row r="49" spans="1:7">
      <c r="A49" s="1"/>
      <c r="B49" s="74" t="s">
        <v>94</v>
      </c>
      <c r="C49" s="3" t="e">
        <f>IF(#REF!&lt;50,0,IF(#REF!&gt;250,200,#REF!-50))</f>
        <v>#REF!</v>
      </c>
      <c r="D49" s="14">
        <v>0</v>
      </c>
      <c r="E49" s="3" t="e">
        <f>C49*D49</f>
        <v>#REF!</v>
      </c>
      <c r="F49" s="72"/>
      <c r="G49" s="1"/>
    </row>
    <row r="50" spans="1:7">
      <c r="A50" s="1"/>
      <c r="B50" s="74" t="s">
        <v>125</v>
      </c>
      <c r="C50" s="3"/>
      <c r="D50" s="14"/>
      <c r="E50" s="3"/>
      <c r="F50" s="72" t="e">
        <f>SUM(E48:E49)</f>
        <v>#REF!</v>
      </c>
      <c r="G50" s="1"/>
    </row>
    <row r="51" spans="1:7">
      <c r="A51" s="1"/>
      <c r="B51" s="78" t="s">
        <v>7</v>
      </c>
      <c r="C51" s="42"/>
      <c r="D51" s="43"/>
      <c r="E51" s="42"/>
      <c r="F51" s="68"/>
      <c r="G51" s="1"/>
    </row>
    <row r="52" spans="1:7">
      <c r="A52" s="1"/>
      <c r="B52" s="73" t="s">
        <v>41</v>
      </c>
      <c r="C52" s="5" t="e">
        <f>IF(#REF!&lt;125,#REF!,125)</f>
        <v>#REF!</v>
      </c>
      <c r="D52" s="15">
        <v>0</v>
      </c>
      <c r="E52" s="5" t="e">
        <f>C52*D52</f>
        <v>#REF!</v>
      </c>
      <c r="F52" s="70"/>
      <c r="G52" s="1"/>
    </row>
    <row r="53" spans="1:7">
      <c r="A53" s="1"/>
      <c r="B53" s="74" t="s">
        <v>42</v>
      </c>
      <c r="C53" s="3" t="e">
        <f>IF(#REF!&gt;250,125,IF(#REF!&gt;125,#REF!-125,0))</f>
        <v>#REF!</v>
      </c>
      <c r="D53" s="14">
        <v>0</v>
      </c>
      <c r="E53" s="3" t="e">
        <f>C53*D53</f>
        <v>#REF!</v>
      </c>
      <c r="F53" s="75"/>
      <c r="G53" s="1"/>
    </row>
    <row r="54" spans="1:7">
      <c r="A54" s="1"/>
      <c r="B54" s="76" t="s">
        <v>125</v>
      </c>
      <c r="C54" s="5"/>
      <c r="D54" s="15"/>
      <c r="E54" s="5"/>
      <c r="F54" s="72" t="e">
        <f>SUM(E52:E53)</f>
        <v>#REF!</v>
      </c>
      <c r="G54" s="1"/>
    </row>
    <row r="55" spans="1:7">
      <c r="A55" s="1"/>
      <c r="B55" s="78" t="s">
        <v>97</v>
      </c>
      <c r="C55" s="44"/>
      <c r="D55" s="45"/>
      <c r="E55" s="44"/>
      <c r="F55" s="80"/>
      <c r="G55" s="1"/>
    </row>
    <row r="56" spans="1:7">
      <c r="A56" s="1"/>
      <c r="B56" s="73" t="s">
        <v>63</v>
      </c>
      <c r="C56" s="5" t="e">
        <f>IF(#REF!&lt;75,#REF!,75)</f>
        <v>#REF!</v>
      </c>
      <c r="D56" s="15">
        <v>40</v>
      </c>
      <c r="E56" s="5" t="e">
        <f>C56*D56</f>
        <v>#REF!</v>
      </c>
      <c r="F56" s="70"/>
      <c r="G56" s="1"/>
    </row>
    <row r="57" spans="1:7">
      <c r="A57" s="1"/>
      <c r="B57" s="73" t="s">
        <v>146</v>
      </c>
      <c r="C57" s="5" t="e">
        <f>IF(#REF!&lt;75,0,IF(#REF!&lt;100,#REF!-75,25))</f>
        <v>#REF!</v>
      </c>
      <c r="D57" s="15">
        <v>247</v>
      </c>
      <c r="E57" s="5" t="e">
        <f>C57*D57</f>
        <v>#REF!</v>
      </c>
      <c r="F57" s="70"/>
      <c r="G57" s="1"/>
    </row>
    <row r="58" spans="1:7">
      <c r="A58" s="1"/>
      <c r="B58" s="76" t="s">
        <v>147</v>
      </c>
      <c r="C58" s="5" t="e">
        <f>IF(#REF!&lt;100,0,IF(#REF!&lt;200,#REF!-100,100))</f>
        <v>#REF!</v>
      </c>
      <c r="D58" s="26">
        <v>0</v>
      </c>
      <c r="E58" s="5" t="e">
        <f>C58*D58</f>
        <v>#REF!</v>
      </c>
      <c r="F58" s="70"/>
      <c r="G58" s="1"/>
    </row>
    <row r="59" spans="1:7">
      <c r="A59" s="1"/>
      <c r="B59" s="74" t="s">
        <v>98</v>
      </c>
      <c r="C59" s="3" t="e">
        <f>IF(#REF!&lt;200,0,IF(#REF!&gt;200,#REF!-200,0))</f>
        <v>#REF!</v>
      </c>
      <c r="D59" s="14">
        <v>113</v>
      </c>
      <c r="E59" s="3" t="e">
        <f>C59*D59</f>
        <v>#REF!</v>
      </c>
      <c r="F59" s="75"/>
      <c r="G59" s="1"/>
    </row>
    <row r="60" spans="1:7">
      <c r="A60" s="1"/>
      <c r="B60" s="81"/>
      <c r="C60" s="65"/>
      <c r="D60" s="56"/>
      <c r="E60" s="65"/>
      <c r="F60" s="82" t="e">
        <f>SUM(E56:E59)</f>
        <v>#REF!</v>
      </c>
      <c r="G60" s="1"/>
    </row>
    <row r="61" spans="1:7">
      <c r="A61" s="1"/>
      <c r="B61" s="69" t="s">
        <v>128</v>
      </c>
      <c r="C61" s="5"/>
      <c r="D61" s="15"/>
      <c r="E61" s="5"/>
      <c r="F61" s="79"/>
      <c r="G61" s="1"/>
    </row>
    <row r="62" spans="1:7">
      <c r="A62" s="1"/>
      <c r="B62" s="83"/>
      <c r="C62" s="3" t="e">
        <f>IF(#REF!&lt;1000,#REF!,1000)</f>
        <v>#REF!</v>
      </c>
      <c r="D62" s="14">
        <v>0</v>
      </c>
      <c r="E62" s="3" t="e">
        <f>C62*D62</f>
        <v>#REF!</v>
      </c>
      <c r="F62" s="75"/>
      <c r="G62" s="1"/>
    </row>
    <row r="63" spans="1:7">
      <c r="A63" s="1"/>
      <c r="B63" s="84" t="s">
        <v>125</v>
      </c>
      <c r="C63" s="38"/>
      <c r="D63" s="36"/>
      <c r="E63" s="38"/>
      <c r="F63" s="75" t="e">
        <f>E62</f>
        <v>#REF!</v>
      </c>
      <c r="G63" s="1"/>
    </row>
    <row r="64" spans="1:7">
      <c r="A64" s="5"/>
      <c r="B64" s="69"/>
      <c r="C64" s="37"/>
      <c r="D64" s="34"/>
      <c r="E64" s="37"/>
      <c r="F64" s="85"/>
      <c r="G64" s="1"/>
    </row>
    <row r="65" spans="1:7">
      <c r="A65" s="5"/>
      <c r="B65" s="71" t="s">
        <v>141</v>
      </c>
      <c r="C65" s="38"/>
      <c r="D65" s="36"/>
      <c r="E65" s="38"/>
      <c r="F65" s="86" t="e">
        <f>SUM(F42:F63)</f>
        <v>#REF!</v>
      </c>
      <c r="G65" s="1"/>
    </row>
    <row r="66" spans="1:7">
      <c r="A66" s="5"/>
      <c r="B66" s="37"/>
      <c r="C66" s="5"/>
      <c r="D66" s="34"/>
      <c r="E66" s="37"/>
      <c r="F66" s="37"/>
      <c r="G66" s="1"/>
    </row>
    <row r="67" spans="1:7">
      <c r="A67" s="5"/>
      <c r="B67" s="21"/>
      <c r="C67" s="5"/>
      <c r="D67" s="15"/>
      <c r="E67" s="21"/>
      <c r="F67" s="6"/>
      <c r="G67" s="1"/>
    </row>
    <row r="68" spans="1:7">
      <c r="A68" s="1"/>
      <c r="B68" s="78" t="s">
        <v>9</v>
      </c>
      <c r="C68" s="42"/>
      <c r="D68" s="43"/>
      <c r="E68" s="42"/>
      <c r="F68" s="68"/>
      <c r="G68" s="1"/>
    </row>
    <row r="69" spans="1:7">
      <c r="A69" s="1"/>
      <c r="B69" s="91" t="s">
        <v>39</v>
      </c>
      <c r="C69" s="5" t="e">
        <f>IF(#REF!&lt;17,#REF!,16)</f>
        <v>#REF!</v>
      </c>
      <c r="D69" s="15">
        <v>0</v>
      </c>
      <c r="E69" s="5" t="e">
        <f>C69*D69</f>
        <v>#REF!</v>
      </c>
      <c r="F69" s="70"/>
      <c r="G69" s="1"/>
    </row>
    <row r="70" spans="1:7">
      <c r="A70" s="1"/>
      <c r="B70" s="73" t="s">
        <v>24</v>
      </c>
      <c r="C70" s="5" t="e">
        <f>IF(#REF!&lt;17,0,IF(#REF!&lt;26,#REF!-16,9))</f>
        <v>#REF!</v>
      </c>
      <c r="D70" s="15">
        <v>0</v>
      </c>
      <c r="E70" s="5" t="e">
        <f>C70*D70</f>
        <v>#REF!</v>
      </c>
      <c r="F70" s="88"/>
      <c r="G70" s="1"/>
    </row>
    <row r="71" spans="1:7">
      <c r="A71" s="1"/>
      <c r="B71" s="84" t="s">
        <v>40</v>
      </c>
      <c r="C71" s="3" t="e">
        <f>IF(#REF!&lt;26,0,IF(#REF!&lt;51,#REF!-25,25))</f>
        <v>#REF!</v>
      </c>
      <c r="D71" s="14">
        <v>0</v>
      </c>
      <c r="E71" s="33" t="e">
        <f>C71*D71</f>
        <v>#REF!</v>
      </c>
      <c r="F71" s="88"/>
      <c r="G71" s="1"/>
    </row>
    <row r="72" spans="1:7">
      <c r="A72" s="1"/>
      <c r="B72" s="94"/>
      <c r="C72" s="37"/>
      <c r="D72" s="34"/>
      <c r="E72" s="40"/>
      <c r="F72" s="86" t="e">
        <f>SUM(E69:E71)</f>
        <v>#REF!</v>
      </c>
      <c r="G72" s="1"/>
    </row>
    <row r="73" spans="1:7">
      <c r="A73" s="1"/>
      <c r="B73" s="78" t="s">
        <v>10</v>
      </c>
      <c r="C73" s="42"/>
      <c r="D73" s="43"/>
      <c r="E73" s="42"/>
      <c r="F73" s="68"/>
      <c r="G73" s="1"/>
    </row>
    <row r="74" spans="1:7">
      <c r="A74" s="1"/>
      <c r="B74" s="91" t="s">
        <v>95</v>
      </c>
      <c r="C74" s="5" t="e">
        <f>IF(AND(#REF!&lt;35,#REF!&lt;6),#REF!,IF(AND(#REF!&lt;35,#REF!&gt;5),0,IF(AND(#REF!&gt;35,#REF!&gt;5),0,35)))</f>
        <v>#REF!</v>
      </c>
      <c r="D74" s="15">
        <v>250</v>
      </c>
      <c r="E74" s="5" t="e">
        <f>C74*D74</f>
        <v>#REF!</v>
      </c>
      <c r="F74" s="70"/>
      <c r="G74" s="1"/>
    </row>
    <row r="75" spans="1:7">
      <c r="A75" s="1"/>
      <c r="B75" s="91" t="s">
        <v>96</v>
      </c>
      <c r="C75" s="5" t="e">
        <f>IF(AND(#REF!&lt;35,#REF!&gt;5),#REF!,IF(AND(#REF!&lt;35,#REF!&lt;6),0,IF(AND(#REF!&gt;5,#REF!&gt;35),35,0)))</f>
        <v>#REF!</v>
      </c>
      <c r="D75" s="15">
        <v>250</v>
      </c>
      <c r="E75" s="5" t="e">
        <f>C75*D75</f>
        <v>#REF!</v>
      </c>
      <c r="F75" s="70"/>
      <c r="G75" s="1"/>
    </row>
    <row r="76" spans="1:7">
      <c r="A76" s="1"/>
      <c r="B76" s="73" t="s">
        <v>99</v>
      </c>
      <c r="C76" s="5" t="e">
        <f>IF(#REF!&lt;36,0,IF(#REF!&lt;70,#REF!-35,35))</f>
        <v>#REF!</v>
      </c>
      <c r="D76" s="15">
        <v>-594</v>
      </c>
      <c r="E76" s="5" t="e">
        <f>C76*D76</f>
        <v>#REF!</v>
      </c>
      <c r="F76" s="88"/>
      <c r="G76" s="1"/>
    </row>
    <row r="77" spans="1:7">
      <c r="A77" s="1"/>
      <c r="B77" s="74" t="s">
        <v>100</v>
      </c>
      <c r="C77" s="3" t="e">
        <f>IF(#REF!&lt;70,0,IF(#REF!&gt;70,#REF!-70,0))</f>
        <v>#REF!</v>
      </c>
      <c r="D77" s="14">
        <v>0</v>
      </c>
      <c r="E77" s="3" t="e">
        <f>C77*D77</f>
        <v>#REF!</v>
      </c>
      <c r="F77" s="72"/>
      <c r="G77" s="1"/>
    </row>
    <row r="78" spans="1:7">
      <c r="A78" s="1"/>
      <c r="B78" s="73"/>
      <c r="C78" s="5"/>
      <c r="D78" s="15"/>
      <c r="E78" s="5"/>
      <c r="F78" s="79" t="e">
        <f>SUM(E74:E77)</f>
        <v>#REF!</v>
      </c>
      <c r="G78" s="1"/>
    </row>
    <row r="79" spans="1:7">
      <c r="A79" s="1"/>
      <c r="B79" s="76" t="s">
        <v>126</v>
      </c>
      <c r="C79" s="5">
        <v>0</v>
      </c>
      <c r="D79" s="15"/>
      <c r="E79" s="5"/>
      <c r="F79" s="79">
        <f>C79</f>
        <v>0</v>
      </c>
      <c r="G79" s="1"/>
    </row>
    <row r="80" spans="1:7">
      <c r="A80" s="1"/>
      <c r="B80" s="74"/>
      <c r="C80" s="3"/>
      <c r="D80" s="14"/>
      <c r="E80" s="3"/>
      <c r="F80" s="72"/>
      <c r="G80" s="1"/>
    </row>
    <row r="81" spans="1:7">
      <c r="A81" s="1"/>
      <c r="B81" s="41"/>
      <c r="C81" s="42"/>
      <c r="D81" s="43"/>
      <c r="E81" s="42"/>
      <c r="F81" s="42"/>
      <c r="G81" s="1"/>
    </row>
    <row r="82" spans="1:7">
      <c r="A82" s="1"/>
      <c r="B82" s="78"/>
      <c r="C82" s="42"/>
      <c r="D82" s="46"/>
      <c r="E82" s="42"/>
      <c r="F82" s="101"/>
      <c r="G82" s="1"/>
    </row>
    <row r="83" spans="1:7">
      <c r="A83" s="1"/>
      <c r="B83" s="69" t="s">
        <v>127</v>
      </c>
      <c r="C83" s="5"/>
      <c r="D83" s="26"/>
      <c r="E83" s="5"/>
      <c r="F83" s="79" t="e">
        <f>F46+F50+F54+F60+F63+F72+F78+F79</f>
        <v>#REF!</v>
      </c>
      <c r="G83" s="1"/>
    </row>
    <row r="84" spans="1:7">
      <c r="A84" s="1"/>
      <c r="B84" s="84"/>
      <c r="C84" s="9"/>
      <c r="D84" s="47"/>
      <c r="E84" s="9"/>
      <c r="F84" s="75"/>
      <c r="G84" s="1"/>
    </row>
    <row r="85" spans="1:7">
      <c r="A85" s="1"/>
      <c r="G85" s="1"/>
    </row>
    <row r="87" spans="1:7">
      <c r="B87" s="78" t="s">
        <v>26</v>
      </c>
      <c r="C87" s="50"/>
      <c r="D87" s="50"/>
      <c r="E87" s="50"/>
      <c r="F87" s="50"/>
      <c r="G87" s="87"/>
    </row>
    <row r="88" spans="1:7">
      <c r="B88" s="71" t="s">
        <v>4</v>
      </c>
      <c r="C88" s="8" t="s">
        <v>27</v>
      </c>
      <c r="D88" s="8" t="s">
        <v>28</v>
      </c>
      <c r="E88" s="4" t="s">
        <v>29</v>
      </c>
      <c r="F88" s="4" t="s">
        <v>30</v>
      </c>
      <c r="G88" s="72" t="s">
        <v>31</v>
      </c>
    </row>
    <row r="89" spans="1:7">
      <c r="B89" s="66" t="s">
        <v>39</v>
      </c>
      <c r="C89" s="48">
        <v>3120</v>
      </c>
      <c r="D89" s="49">
        <f>C89+D43</f>
        <v>3120</v>
      </c>
      <c r="E89" s="50" t="e">
        <f>C43</f>
        <v>#REF!</v>
      </c>
      <c r="F89" s="50" t="e">
        <f>C89*E89</f>
        <v>#REF!</v>
      </c>
      <c r="G89" s="87" t="e">
        <f>D89*E89</f>
        <v>#REF!</v>
      </c>
    </row>
    <row r="90" spans="1:7">
      <c r="B90" s="73" t="s">
        <v>24</v>
      </c>
      <c r="C90" s="51">
        <v>1584</v>
      </c>
      <c r="D90" s="52">
        <f>C90+D44</f>
        <v>1584</v>
      </c>
      <c r="E90" s="17" t="e">
        <f>C44</f>
        <v>#REF!</v>
      </c>
      <c r="F90" s="17" t="e">
        <f t="shared" ref="F90:F102" si="1">C90*E90</f>
        <v>#REF!</v>
      </c>
      <c r="G90" s="88" t="e">
        <f t="shared" ref="G90:G102" si="2">D90*E90</f>
        <v>#REF!</v>
      </c>
    </row>
    <row r="91" spans="1:7">
      <c r="B91" s="74" t="s">
        <v>40</v>
      </c>
      <c r="C91" s="53">
        <v>396</v>
      </c>
      <c r="D91" s="30">
        <f>C91+D45</f>
        <v>396</v>
      </c>
      <c r="E91" s="9" t="e">
        <f>C45</f>
        <v>#REF!</v>
      </c>
      <c r="F91" s="9" t="e">
        <f t="shared" si="1"/>
        <v>#REF!</v>
      </c>
      <c r="G91" s="75" t="e">
        <f t="shared" si="2"/>
        <v>#REF!</v>
      </c>
    </row>
    <row r="92" spans="1:7">
      <c r="B92" s="76"/>
      <c r="C92" s="51"/>
      <c r="D92" s="52"/>
      <c r="E92" s="17"/>
      <c r="F92" s="17"/>
      <c r="G92" s="88"/>
    </row>
    <row r="93" spans="1:7">
      <c r="B93" s="78" t="s">
        <v>6</v>
      </c>
      <c r="C93" s="48"/>
      <c r="D93" s="49"/>
      <c r="E93" s="50"/>
      <c r="F93" s="50"/>
      <c r="G93" s="87"/>
    </row>
    <row r="94" spans="1:7">
      <c r="B94" s="73" t="s">
        <v>93</v>
      </c>
      <c r="C94" s="51">
        <v>787</v>
      </c>
      <c r="D94" s="52">
        <f>C94+D48</f>
        <v>787</v>
      </c>
      <c r="E94" s="17" t="e">
        <f>C48</f>
        <v>#REF!</v>
      </c>
      <c r="F94" s="17" t="e">
        <f t="shared" si="1"/>
        <v>#REF!</v>
      </c>
      <c r="G94" s="88" t="e">
        <f t="shared" si="2"/>
        <v>#REF!</v>
      </c>
    </row>
    <row r="95" spans="1:7">
      <c r="B95" s="74" t="s">
        <v>105</v>
      </c>
      <c r="C95" s="53">
        <v>787</v>
      </c>
      <c r="D95" s="52">
        <f>C95+D49</f>
        <v>787</v>
      </c>
      <c r="E95" s="17" t="e">
        <f>C49</f>
        <v>#REF!</v>
      </c>
      <c r="F95" s="17" t="e">
        <f>C95*E95</f>
        <v>#REF!</v>
      </c>
      <c r="G95" s="88" t="e">
        <f>D95*E95</f>
        <v>#REF!</v>
      </c>
    </row>
    <row r="96" spans="1:7">
      <c r="B96" s="73"/>
      <c r="C96" s="51"/>
      <c r="D96" s="52"/>
      <c r="E96" s="17"/>
      <c r="F96" s="17"/>
      <c r="G96" s="88"/>
    </row>
    <row r="97" spans="2:7">
      <c r="B97" s="78" t="s">
        <v>7</v>
      </c>
      <c r="C97" s="48"/>
      <c r="D97" s="49"/>
      <c r="E97" s="50"/>
      <c r="F97" s="50"/>
      <c r="G97" s="87"/>
    </row>
    <row r="98" spans="2:7">
      <c r="B98" s="73" t="s">
        <v>41</v>
      </c>
      <c r="C98" s="51">
        <v>900</v>
      </c>
      <c r="D98" s="52">
        <f>C98+D52</f>
        <v>900</v>
      </c>
      <c r="E98" s="17" t="e">
        <f>C52</f>
        <v>#REF!</v>
      </c>
      <c r="F98" s="17" t="e">
        <f t="shared" si="1"/>
        <v>#REF!</v>
      </c>
      <c r="G98" s="88" t="e">
        <f t="shared" si="2"/>
        <v>#REF!</v>
      </c>
    </row>
    <row r="99" spans="2:7">
      <c r="B99" s="74" t="s">
        <v>42</v>
      </c>
      <c r="C99" s="53">
        <v>412</v>
      </c>
      <c r="D99" s="30">
        <f>C99+D53</f>
        <v>412</v>
      </c>
      <c r="E99" s="9" t="e">
        <f>C53</f>
        <v>#REF!</v>
      </c>
      <c r="F99" s="9" t="e">
        <f t="shared" si="1"/>
        <v>#REF!</v>
      </c>
      <c r="G99" s="75" t="e">
        <f t="shared" si="2"/>
        <v>#REF!</v>
      </c>
    </row>
    <row r="100" spans="2:7">
      <c r="B100" s="73"/>
      <c r="C100" s="51"/>
      <c r="D100" s="52"/>
      <c r="E100" s="17"/>
      <c r="F100" s="17"/>
      <c r="G100" s="88"/>
    </row>
    <row r="101" spans="2:7">
      <c r="B101" s="78" t="s">
        <v>118</v>
      </c>
      <c r="C101" s="48"/>
      <c r="D101" s="49"/>
      <c r="E101" s="50"/>
      <c r="F101" s="50"/>
      <c r="G101" s="87"/>
    </row>
    <row r="102" spans="2:7">
      <c r="B102" s="73" t="s">
        <v>119</v>
      </c>
      <c r="C102" s="15">
        <v>137</v>
      </c>
      <c r="D102" s="52">
        <f>C102</f>
        <v>137</v>
      </c>
      <c r="E102" s="17" t="e">
        <f>#REF!</f>
        <v>#REF!</v>
      </c>
      <c r="F102" s="17" t="e">
        <f t="shared" si="1"/>
        <v>#REF!</v>
      </c>
      <c r="G102" s="88" t="e">
        <f t="shared" si="2"/>
        <v>#REF!</v>
      </c>
    </row>
    <row r="103" spans="2:7">
      <c r="B103" s="73" t="s">
        <v>150</v>
      </c>
      <c r="C103" s="15">
        <v>63</v>
      </c>
      <c r="D103" s="52">
        <f>C103</f>
        <v>63</v>
      </c>
      <c r="E103" s="17" t="e">
        <f>#REF!</f>
        <v>#REF!</v>
      </c>
      <c r="F103" s="17" t="e">
        <f>C103*E103</f>
        <v>#REF!</v>
      </c>
      <c r="G103" s="88" t="e">
        <f>D103*E103</f>
        <v>#REF!</v>
      </c>
    </row>
    <row r="104" spans="2:7">
      <c r="B104" s="73" t="s">
        <v>149</v>
      </c>
      <c r="C104" s="15">
        <v>63</v>
      </c>
      <c r="D104" s="52">
        <v>0</v>
      </c>
      <c r="E104" s="17" t="e">
        <f>#REF!</f>
        <v>#REF!</v>
      </c>
      <c r="F104" s="17" t="e">
        <f>C104*E104</f>
        <v>#REF!</v>
      </c>
      <c r="G104" s="88" t="e">
        <f>D104*E104</f>
        <v>#REF!</v>
      </c>
    </row>
    <row r="105" spans="2:7">
      <c r="B105" s="73" t="s">
        <v>120</v>
      </c>
      <c r="C105" s="15">
        <v>0</v>
      </c>
      <c r="D105" s="52">
        <v>0</v>
      </c>
      <c r="E105" s="17" t="e">
        <f>#REF!</f>
        <v>#REF!</v>
      </c>
      <c r="F105" s="17" t="e">
        <f>C105*E105</f>
        <v>#REF!</v>
      </c>
      <c r="G105" s="88" t="e">
        <f>D105*E105</f>
        <v>#REF!</v>
      </c>
    </row>
    <row r="106" spans="2:7">
      <c r="B106" s="74" t="s">
        <v>121</v>
      </c>
      <c r="C106" s="14">
        <v>0</v>
      </c>
      <c r="D106" s="30"/>
      <c r="E106" s="9"/>
      <c r="F106" s="9"/>
      <c r="G106" s="75"/>
    </row>
    <row r="107" spans="2:7">
      <c r="B107" s="73"/>
      <c r="C107" s="15"/>
      <c r="D107" s="52"/>
      <c r="E107" s="17"/>
      <c r="F107" s="17"/>
      <c r="G107" s="88"/>
    </row>
    <row r="108" spans="2:7">
      <c r="B108" s="78" t="s">
        <v>97</v>
      </c>
      <c r="C108" s="43"/>
      <c r="D108" s="49"/>
      <c r="E108" s="50"/>
      <c r="F108" s="50"/>
      <c r="G108" s="87"/>
    </row>
    <row r="109" spans="2:7">
      <c r="B109" s="73" t="s">
        <v>63</v>
      </c>
      <c r="C109" s="15">
        <v>624</v>
      </c>
      <c r="D109" s="52">
        <f>C109+D56</f>
        <v>664</v>
      </c>
      <c r="E109" s="17" t="e">
        <f>C56</f>
        <v>#REF!</v>
      </c>
      <c r="F109" s="17" t="e">
        <f>C109*E109</f>
        <v>#REF!</v>
      </c>
      <c r="G109" s="88" t="e">
        <f>D109*E109</f>
        <v>#REF!</v>
      </c>
    </row>
    <row r="110" spans="2:7">
      <c r="B110" s="73" t="s">
        <v>146</v>
      </c>
      <c r="C110" s="15">
        <v>113</v>
      </c>
      <c r="D110" s="52">
        <f>C110+D57</f>
        <v>360</v>
      </c>
      <c r="E110" s="17" t="e">
        <f>C57</f>
        <v>#REF!</v>
      </c>
      <c r="F110" s="17" t="e">
        <f>C110*E110</f>
        <v>#REF!</v>
      </c>
      <c r="G110" s="88" t="e">
        <f>D110*E110</f>
        <v>#REF!</v>
      </c>
    </row>
    <row r="111" spans="2:7">
      <c r="B111" s="76" t="s">
        <v>147</v>
      </c>
      <c r="C111" s="15">
        <v>113</v>
      </c>
      <c r="D111" s="52">
        <f>C111+D58</f>
        <v>113</v>
      </c>
      <c r="E111" s="17" t="e">
        <f>C58</f>
        <v>#REF!</v>
      </c>
      <c r="F111" s="17" t="e">
        <f>C111*E111</f>
        <v>#REF!</v>
      </c>
      <c r="G111" s="88" t="e">
        <f>D111*E111</f>
        <v>#REF!</v>
      </c>
    </row>
    <row r="112" spans="2:7">
      <c r="B112" s="74" t="s">
        <v>98</v>
      </c>
      <c r="C112" s="14">
        <v>0</v>
      </c>
      <c r="D112" s="52">
        <f>C112+D59</f>
        <v>113</v>
      </c>
      <c r="E112" s="17" t="e">
        <f>C59</f>
        <v>#REF!</v>
      </c>
      <c r="F112" s="9" t="e">
        <f>C112*E112</f>
        <v>#REF!</v>
      </c>
      <c r="G112" s="75" t="e">
        <f>D112*E112</f>
        <v>#REF!</v>
      </c>
    </row>
    <row r="113" spans="2:7">
      <c r="B113" s="73"/>
      <c r="C113" s="15"/>
      <c r="D113" s="52"/>
      <c r="E113" s="17"/>
      <c r="F113" s="17"/>
      <c r="G113" s="88"/>
    </row>
    <row r="114" spans="2:7">
      <c r="B114" s="78" t="s">
        <v>9</v>
      </c>
      <c r="C114" s="43"/>
      <c r="D114" s="49"/>
      <c r="E114" s="50"/>
      <c r="F114" s="50"/>
      <c r="G114" s="87"/>
    </row>
    <row r="115" spans="2:7">
      <c r="B115" s="91" t="s">
        <v>39</v>
      </c>
      <c r="C115" s="15">
        <v>3120</v>
      </c>
      <c r="D115" s="54">
        <f>C115+D69</f>
        <v>3120</v>
      </c>
      <c r="E115" s="17" t="e">
        <f>C69</f>
        <v>#REF!</v>
      </c>
      <c r="F115" s="17" t="e">
        <f>C115*E115</f>
        <v>#REF!</v>
      </c>
      <c r="G115" s="88" t="e">
        <f>D115*E115</f>
        <v>#REF!</v>
      </c>
    </row>
    <row r="116" spans="2:7">
      <c r="B116" s="73" t="s">
        <v>24</v>
      </c>
      <c r="C116" s="15">
        <v>1584</v>
      </c>
      <c r="D116" s="54">
        <f>C116+D70</f>
        <v>1584</v>
      </c>
      <c r="E116" s="17" t="e">
        <f>C70</f>
        <v>#REF!</v>
      </c>
      <c r="F116" s="17" t="e">
        <f>C116*E116</f>
        <v>#REF!</v>
      </c>
      <c r="G116" s="88" t="e">
        <f>D116*E116</f>
        <v>#REF!</v>
      </c>
    </row>
    <row r="117" spans="2:7">
      <c r="B117" s="84" t="s">
        <v>40</v>
      </c>
      <c r="C117" s="14">
        <v>396</v>
      </c>
      <c r="D117" s="55">
        <f>C117+D71</f>
        <v>396</v>
      </c>
      <c r="E117" s="9" t="e">
        <f>C71</f>
        <v>#REF!</v>
      </c>
      <c r="F117" s="9" t="e">
        <f>C117*E117</f>
        <v>#REF!</v>
      </c>
      <c r="G117" s="75" t="e">
        <f>D117*E117</f>
        <v>#REF!</v>
      </c>
    </row>
    <row r="118" spans="2:7">
      <c r="B118" s="76"/>
      <c r="C118" s="15"/>
      <c r="D118" s="54"/>
      <c r="E118" s="17"/>
      <c r="F118" s="17"/>
      <c r="G118" s="88"/>
    </row>
    <row r="119" spans="2:7">
      <c r="B119" s="78" t="s">
        <v>10</v>
      </c>
      <c r="C119" s="43"/>
      <c r="D119" s="49"/>
      <c r="E119" s="50"/>
      <c r="F119" s="50"/>
      <c r="G119" s="87"/>
    </row>
    <row r="120" spans="2:7">
      <c r="B120" s="91" t="s">
        <v>95</v>
      </c>
      <c r="C120" s="15">
        <v>594</v>
      </c>
      <c r="D120" s="52">
        <f>C120+D74</f>
        <v>844</v>
      </c>
      <c r="E120" s="17" t="e">
        <f>C74</f>
        <v>#REF!</v>
      </c>
      <c r="F120" s="17" t="e">
        <f>C120*E120</f>
        <v>#REF!</v>
      </c>
      <c r="G120" s="88" t="e">
        <f>D120*E120</f>
        <v>#REF!</v>
      </c>
    </row>
    <row r="121" spans="2:7">
      <c r="B121" s="91" t="s">
        <v>96</v>
      </c>
      <c r="C121" s="15">
        <v>881</v>
      </c>
      <c r="D121" s="52">
        <f>C121+D75</f>
        <v>1131</v>
      </c>
      <c r="E121" s="17" t="e">
        <f>C75</f>
        <v>#REF!</v>
      </c>
      <c r="F121" s="17" t="e">
        <f>C121*E121</f>
        <v>#REF!</v>
      </c>
      <c r="G121" s="88" t="e">
        <f>D121*E121</f>
        <v>#REF!</v>
      </c>
    </row>
    <row r="122" spans="2:7">
      <c r="B122" s="73" t="s">
        <v>99</v>
      </c>
      <c r="C122" s="15">
        <v>594</v>
      </c>
      <c r="D122" s="52">
        <f>C122+D76</f>
        <v>0</v>
      </c>
      <c r="E122" s="17" t="e">
        <f>C76</f>
        <v>#REF!</v>
      </c>
      <c r="F122" s="17" t="e">
        <f>C122*E122</f>
        <v>#REF!</v>
      </c>
      <c r="G122" s="88" t="e">
        <f>D122*E122</f>
        <v>#REF!</v>
      </c>
    </row>
    <row r="123" spans="2:7">
      <c r="B123" s="74" t="s">
        <v>100</v>
      </c>
      <c r="C123" s="14">
        <v>0</v>
      </c>
      <c r="D123" s="30"/>
      <c r="E123" s="9"/>
      <c r="F123" s="9"/>
      <c r="G123" s="75"/>
    </row>
    <row r="124" spans="2:7">
      <c r="B124" s="73"/>
      <c r="C124" s="15"/>
      <c r="D124" s="52"/>
      <c r="E124" s="17"/>
      <c r="F124" s="17"/>
      <c r="G124" s="88"/>
    </row>
    <row r="125" spans="2:7">
      <c r="B125" s="78" t="s">
        <v>11</v>
      </c>
      <c r="C125" s="43"/>
      <c r="D125" s="49"/>
      <c r="E125" s="50"/>
      <c r="F125" s="50"/>
      <c r="G125" s="87"/>
    </row>
    <row r="126" spans="2:7">
      <c r="B126" s="91" t="s">
        <v>53</v>
      </c>
      <c r="C126" s="15">
        <v>28</v>
      </c>
      <c r="D126" s="52">
        <f>C126</f>
        <v>28</v>
      </c>
      <c r="E126" s="17" t="e">
        <f>IF(#REF!&lt;1400,#REF!,1400)</f>
        <v>#REF!</v>
      </c>
      <c r="F126" s="17" t="e">
        <f>C126*E126</f>
        <v>#REF!</v>
      </c>
      <c r="G126" s="88" t="e">
        <f>D126*E126</f>
        <v>#REF!</v>
      </c>
    </row>
    <row r="127" spans="2:7">
      <c r="B127" s="73" t="s">
        <v>106</v>
      </c>
      <c r="C127" s="15">
        <v>0</v>
      </c>
      <c r="D127" s="52">
        <f>C127</f>
        <v>0</v>
      </c>
      <c r="E127" s="17"/>
      <c r="F127" s="17">
        <f>C127*E127</f>
        <v>0</v>
      </c>
      <c r="G127" s="88">
        <f>D127*E127</f>
        <v>0</v>
      </c>
    </row>
    <row r="128" spans="2:7">
      <c r="B128" s="102" t="s">
        <v>107</v>
      </c>
      <c r="C128" s="14">
        <v>0</v>
      </c>
      <c r="D128" s="30">
        <f>C128</f>
        <v>0</v>
      </c>
      <c r="E128" s="9"/>
      <c r="F128" s="9">
        <f>C128*E128</f>
        <v>0</v>
      </c>
      <c r="G128" s="75">
        <f>D128*E128</f>
        <v>0</v>
      </c>
    </row>
    <row r="129" spans="2:10">
      <c r="B129" s="91"/>
      <c r="C129" s="15"/>
      <c r="D129" s="52"/>
      <c r="E129" s="17"/>
      <c r="F129" s="17"/>
      <c r="G129" s="88"/>
    </row>
    <row r="130" spans="2:10">
      <c r="B130" s="78" t="s">
        <v>12</v>
      </c>
      <c r="C130" s="43"/>
      <c r="D130" s="49"/>
      <c r="E130" s="50"/>
      <c r="F130" s="50"/>
      <c r="G130" s="87"/>
    </row>
    <row r="131" spans="2:10">
      <c r="B131" s="73" t="s">
        <v>101</v>
      </c>
      <c r="C131" s="15">
        <v>12</v>
      </c>
      <c r="D131" s="52">
        <f>C131+D62</f>
        <v>12</v>
      </c>
      <c r="E131" s="17" t="e">
        <f>IF(#REF!&lt;5,C62,0)</f>
        <v>#REF!</v>
      </c>
      <c r="F131" s="17" t="e">
        <f>C131*E131</f>
        <v>#REF!</v>
      </c>
      <c r="G131" s="88" t="e">
        <f>D131*E131</f>
        <v>#REF!</v>
      </c>
    </row>
    <row r="132" spans="2:10">
      <c r="B132" s="73" t="s">
        <v>102</v>
      </c>
      <c r="C132" s="15">
        <v>26</v>
      </c>
      <c r="D132" s="52">
        <f>C132+D62</f>
        <v>26</v>
      </c>
      <c r="E132" s="17" t="e">
        <f>IF(#REF!&gt;5,C62,0)</f>
        <v>#REF!</v>
      </c>
      <c r="F132" s="17" t="e">
        <f>C132*E132</f>
        <v>#REF!</v>
      </c>
      <c r="G132" s="88" t="e">
        <f>D132*E132</f>
        <v>#REF!</v>
      </c>
    </row>
    <row r="133" spans="2:10">
      <c r="B133" s="76" t="s">
        <v>103</v>
      </c>
      <c r="C133" s="15">
        <v>12</v>
      </c>
      <c r="D133" s="52">
        <f>C133</f>
        <v>12</v>
      </c>
      <c r="E133" s="17" t="e">
        <f>IF(#REF!&lt;5000,#REF!-1000,4000)</f>
        <v>#REF!</v>
      </c>
      <c r="F133" s="17" t="e">
        <f>C133*E133</f>
        <v>#REF!</v>
      </c>
      <c r="G133" s="88" t="e">
        <f>D133*E133</f>
        <v>#REF!</v>
      </c>
    </row>
    <row r="134" spans="2:10">
      <c r="B134" s="76" t="s">
        <v>104</v>
      </c>
      <c r="C134" s="15">
        <v>0</v>
      </c>
      <c r="D134" s="52">
        <f>C134</f>
        <v>0</v>
      </c>
      <c r="E134" s="15">
        <v>0</v>
      </c>
      <c r="F134" s="17">
        <f>C134*E134</f>
        <v>0</v>
      </c>
      <c r="G134" s="88">
        <f>D134*E134</f>
        <v>0</v>
      </c>
    </row>
    <row r="135" spans="2:10">
      <c r="B135" s="84" t="s">
        <v>108</v>
      </c>
      <c r="C135" s="14">
        <v>0</v>
      </c>
      <c r="D135" s="30">
        <f>C135</f>
        <v>0</v>
      </c>
      <c r="E135" s="14">
        <v>0</v>
      </c>
      <c r="F135" s="9">
        <f>C135*E135</f>
        <v>0</v>
      </c>
      <c r="G135" s="75">
        <f>D135*E135</f>
        <v>0</v>
      </c>
    </row>
    <row r="136" spans="2:10">
      <c r="B136" s="69"/>
      <c r="C136" s="15"/>
      <c r="D136" s="52"/>
      <c r="E136" s="17"/>
      <c r="F136" s="17"/>
      <c r="G136" s="88"/>
    </row>
    <row r="137" spans="2:10">
      <c r="B137" s="73"/>
      <c r="C137" s="15"/>
      <c r="D137" s="52"/>
      <c r="E137" s="17"/>
      <c r="F137" s="17"/>
      <c r="G137" s="88"/>
    </row>
    <row r="138" spans="2:10">
      <c r="B138" s="103" t="s">
        <v>109</v>
      </c>
      <c r="C138" s="56">
        <v>1000</v>
      </c>
      <c r="D138" s="57">
        <f>C138+D82</f>
        <v>1000</v>
      </c>
      <c r="E138" s="56">
        <v>0</v>
      </c>
      <c r="F138" s="58">
        <f>C138*E138</f>
        <v>0</v>
      </c>
      <c r="G138" s="104">
        <f>D138*E138</f>
        <v>0</v>
      </c>
    </row>
    <row r="139" spans="2:10">
      <c r="B139" s="69"/>
      <c r="C139" s="17"/>
      <c r="D139" s="17"/>
      <c r="E139" s="17"/>
      <c r="F139" s="59" t="e">
        <f>SUM(F89:F138)</f>
        <v>#REF!</v>
      </c>
      <c r="G139" s="105" t="e">
        <f>SUM(G89:G138)</f>
        <v>#REF!</v>
      </c>
    </row>
    <row r="140" spans="2:10">
      <c r="B140" s="74" t="s">
        <v>32</v>
      </c>
      <c r="C140" s="106">
        <v>200000</v>
      </c>
      <c r="D140" s="106">
        <v>220000</v>
      </c>
      <c r="E140" s="9"/>
      <c r="F140" s="9" t="s">
        <v>33</v>
      </c>
      <c r="G140" s="75" t="s">
        <v>34</v>
      </c>
      <c r="H140" s="5" t="s">
        <v>32</v>
      </c>
      <c r="I140" s="12">
        <v>250000</v>
      </c>
      <c r="J140" s="12">
        <v>250000.00000999999</v>
      </c>
    </row>
    <row r="141" spans="2:10">
      <c r="B141" s="5"/>
      <c r="H141" s="5" t="s">
        <v>58</v>
      </c>
    </row>
    <row r="142" spans="2:10">
      <c r="B142" s="3"/>
      <c r="F142" s="11"/>
      <c r="G142" s="11"/>
      <c r="H142" s="3"/>
    </row>
    <row r="143" spans="2:10">
      <c r="B143">
        <v>1</v>
      </c>
      <c r="C143" s="13" t="e">
        <f>IF(AND(F139&lt;$C$140,G139&lt;$D$140),0,0)</f>
        <v>#REF!</v>
      </c>
      <c r="H143">
        <v>1</v>
      </c>
      <c r="I143" s="13" t="e">
        <f>IF(AND(F139&lt;$I$140,G139&lt;$J$140),0,0)</f>
        <v>#REF!</v>
      </c>
    </row>
    <row r="144" spans="2:10">
      <c r="B144">
        <v>2</v>
      </c>
      <c r="C144" t="e">
        <f>IF(AND(F139&lt;C140,G139&gt;D140),(D140-F139),0)</f>
        <v>#REF!</v>
      </c>
      <c r="D144" t="s">
        <v>35</v>
      </c>
      <c r="H144">
        <v>2</v>
      </c>
      <c r="I144" t="e">
        <f>IF(AND(F139&lt;I140,G139&gt;J140),(J140-F139),0)</f>
        <v>#REF!</v>
      </c>
      <c r="J144" t="s">
        <v>35</v>
      </c>
    </row>
    <row r="145" spans="2:10">
      <c r="B145">
        <v>3</v>
      </c>
      <c r="C145" t="e">
        <f>IF(AND(F139&gt;C140,G139&gt;D140),(D140-C140),0)</f>
        <v>#REF!</v>
      </c>
      <c r="D145" t="s">
        <v>36</v>
      </c>
      <c r="H145">
        <v>3</v>
      </c>
      <c r="I145" s="32" t="e">
        <f>IF(AND(F139&gt;I140,G139&gt;J140),(J140-I140),0)</f>
        <v>#REF!</v>
      </c>
      <c r="J145" t="s">
        <v>36</v>
      </c>
    </row>
    <row r="146" spans="2:10">
      <c r="B146" s="9">
        <v>4</v>
      </c>
      <c r="C146" s="9" t="e">
        <f>IF(AND(F139&gt;C140,G139&lt;D140),(G139-$C$140),0)</f>
        <v>#REF!</v>
      </c>
      <c r="D146" t="s">
        <v>37</v>
      </c>
      <c r="H146" s="9">
        <v>4</v>
      </c>
      <c r="I146" s="9" t="e">
        <f>IF(AND(F139&gt;I140,G139&lt;J140),(G139-I140),0)</f>
        <v>#REF!</v>
      </c>
      <c r="J146" t="s">
        <v>37</v>
      </c>
    </row>
    <row r="147" spans="2:10">
      <c r="C147" s="2" t="e">
        <f>SUM(C143:C146)</f>
        <v>#REF!</v>
      </c>
      <c r="I147" s="20" t="e">
        <f>SUM(I143:I146)</f>
        <v>#REF!</v>
      </c>
    </row>
    <row r="148" spans="2:10">
      <c r="B148" s="16"/>
      <c r="C148" s="17"/>
      <c r="D148" s="17"/>
      <c r="E148" s="17"/>
      <c r="F148" s="17"/>
      <c r="G148" s="17"/>
      <c r="H148" s="17"/>
      <c r="I148" s="17"/>
    </row>
    <row r="149" spans="2:10" ht="14.25">
      <c r="B149" s="29" t="s">
        <v>127</v>
      </c>
      <c r="C149" s="17"/>
      <c r="D149" s="6" t="e">
        <f>F83</f>
        <v>#REF!</v>
      </c>
      <c r="E149" s="17"/>
      <c r="F149" s="17"/>
      <c r="G149" s="17"/>
      <c r="H149" s="17"/>
      <c r="I149" s="17"/>
    </row>
    <row r="151" spans="2:10">
      <c r="B151" s="78" t="s">
        <v>43</v>
      </c>
      <c r="C151" s="50"/>
      <c r="D151" s="50"/>
      <c r="E151" s="50"/>
      <c r="F151" s="41" t="s">
        <v>131</v>
      </c>
      <c r="G151" s="87"/>
    </row>
    <row r="152" spans="2:10">
      <c r="B152" s="69" t="s">
        <v>4</v>
      </c>
      <c r="C152" s="59" t="s">
        <v>27</v>
      </c>
      <c r="D152" s="6" t="s">
        <v>137</v>
      </c>
      <c r="E152" s="6" t="s">
        <v>29</v>
      </c>
      <c r="F152" s="6" t="s">
        <v>30</v>
      </c>
      <c r="G152" s="79" t="s">
        <v>31</v>
      </c>
    </row>
    <row r="153" spans="2:10">
      <c r="B153" s="66" t="s">
        <v>23</v>
      </c>
      <c r="C153" s="48">
        <v>2884</v>
      </c>
      <c r="D153" s="48">
        <f>C153*1.06</f>
        <v>3057.04</v>
      </c>
      <c r="E153" s="50" t="e">
        <f>B245</f>
        <v>#REF!</v>
      </c>
      <c r="F153" s="49" t="e">
        <f>C153*E153</f>
        <v>#REF!</v>
      </c>
      <c r="G153" s="107" t="e">
        <f>D153*E153</f>
        <v>#REF!</v>
      </c>
    </row>
    <row r="154" spans="2:10">
      <c r="B154" s="73" t="s">
        <v>44</v>
      </c>
      <c r="C154" s="51">
        <v>1957</v>
      </c>
      <c r="D154" s="48">
        <f>C154*1.06</f>
        <v>2074.42</v>
      </c>
      <c r="E154" s="17" t="e">
        <f>B246</f>
        <v>#REF!</v>
      </c>
      <c r="F154" s="52" t="e">
        <f>C154*E154</f>
        <v>#REF!</v>
      </c>
      <c r="G154" s="108" t="e">
        <f>D154*E154</f>
        <v>#REF!</v>
      </c>
    </row>
    <row r="155" spans="2:10">
      <c r="B155" s="73"/>
      <c r="C155" s="51"/>
      <c r="D155" s="51"/>
      <c r="E155" s="17"/>
      <c r="F155" s="52"/>
      <c r="G155" s="108"/>
    </row>
    <row r="156" spans="2:10">
      <c r="B156" s="69" t="s">
        <v>6</v>
      </c>
      <c r="C156" s="51"/>
      <c r="D156" s="51"/>
      <c r="E156" s="17"/>
      <c r="F156" s="52"/>
      <c r="G156" s="108"/>
    </row>
    <row r="157" spans="2:10">
      <c r="B157" s="73" t="s">
        <v>110</v>
      </c>
      <c r="C157" s="51">
        <v>417</v>
      </c>
      <c r="D157" s="48">
        <f>C157*1.06</f>
        <v>442.02000000000004</v>
      </c>
      <c r="E157" s="17" t="e">
        <f>B250</f>
        <v>#REF!</v>
      </c>
      <c r="F157" s="52" t="e">
        <f>C157*E157</f>
        <v>#REF!</v>
      </c>
      <c r="G157" s="108" t="e">
        <f>D157*E157</f>
        <v>#REF!</v>
      </c>
    </row>
    <row r="158" spans="2:10">
      <c r="B158" s="73"/>
      <c r="C158" s="51"/>
      <c r="D158" s="51"/>
      <c r="E158" s="17"/>
      <c r="F158" s="52"/>
      <c r="G158" s="108"/>
    </row>
    <row r="159" spans="2:10">
      <c r="B159" s="69" t="s">
        <v>138</v>
      </c>
      <c r="C159" s="51"/>
      <c r="D159" s="51"/>
      <c r="E159" s="17"/>
      <c r="F159" s="52"/>
      <c r="G159" s="108"/>
    </row>
    <row r="160" spans="2:10">
      <c r="B160" s="73" t="s">
        <v>25</v>
      </c>
      <c r="C160" s="51">
        <v>685</v>
      </c>
      <c r="D160" s="48">
        <f>C160*1.06</f>
        <v>726.1</v>
      </c>
      <c r="E160" s="17" t="e">
        <f>B254</f>
        <v>#REF!</v>
      </c>
      <c r="F160" s="52" t="e">
        <f>C160*E160</f>
        <v>#REF!</v>
      </c>
      <c r="G160" s="108" t="e">
        <f>D160*E160</f>
        <v>#REF!</v>
      </c>
    </row>
    <row r="161" spans="2:7">
      <c r="B161" s="73" t="s">
        <v>45</v>
      </c>
      <c r="C161" s="51">
        <v>458</v>
      </c>
      <c r="D161" s="48">
        <f>C161*1.06</f>
        <v>485.48</v>
      </c>
      <c r="E161" s="17" t="e">
        <f>B255</f>
        <v>#REF!</v>
      </c>
      <c r="F161" s="52" t="e">
        <f>C161*E161</f>
        <v>#REF!</v>
      </c>
      <c r="G161" s="108" t="e">
        <f>D161*E161</f>
        <v>#REF!</v>
      </c>
    </row>
    <row r="162" spans="2:7">
      <c r="B162" s="73"/>
      <c r="C162" s="51"/>
      <c r="D162" s="51"/>
      <c r="E162" s="17"/>
      <c r="F162" s="52"/>
      <c r="G162" s="108"/>
    </row>
    <row r="163" spans="2:7">
      <c r="B163" s="69" t="s">
        <v>8</v>
      </c>
      <c r="C163" s="51"/>
      <c r="D163" s="51"/>
      <c r="E163" s="17"/>
      <c r="F163" s="52"/>
      <c r="G163" s="108"/>
    </row>
    <row r="164" spans="2:7">
      <c r="B164" s="76" t="s">
        <v>110</v>
      </c>
      <c r="C164" s="51">
        <v>363</v>
      </c>
      <c r="D164" s="48">
        <f>C164*1.06</f>
        <v>384.78000000000003</v>
      </c>
      <c r="E164" s="17" t="e">
        <f>B258</f>
        <v>#REF!</v>
      </c>
      <c r="F164" s="52" t="e">
        <f>C164*E164</f>
        <v>#REF!</v>
      </c>
      <c r="G164" s="108" t="e">
        <f>D164*E164</f>
        <v>#REF!</v>
      </c>
    </row>
    <row r="165" spans="2:7">
      <c r="B165" s="73"/>
      <c r="C165" s="51"/>
      <c r="D165" s="51"/>
      <c r="E165" s="17"/>
      <c r="F165" s="52"/>
      <c r="G165" s="108"/>
    </row>
    <row r="166" spans="2:7">
      <c r="B166" s="69" t="s">
        <v>16</v>
      </c>
      <c r="C166" s="51"/>
      <c r="D166" s="51"/>
      <c r="E166" s="17"/>
      <c r="F166" s="52"/>
      <c r="G166" s="108"/>
    </row>
    <row r="167" spans="2:7">
      <c r="B167" s="91" t="s">
        <v>110</v>
      </c>
      <c r="C167" s="51">
        <v>534</v>
      </c>
      <c r="D167" s="48">
        <f>C167*1.06</f>
        <v>566.04000000000008</v>
      </c>
      <c r="E167" s="17" t="e">
        <f>B262</f>
        <v>#REF!</v>
      </c>
      <c r="F167" s="52" t="e">
        <f>C167*E167</f>
        <v>#REF!</v>
      </c>
      <c r="G167" s="108" t="e">
        <f>D167*E167</f>
        <v>#REF!</v>
      </c>
    </row>
    <row r="168" spans="2:7">
      <c r="B168" s="73"/>
      <c r="C168" s="51"/>
      <c r="D168" s="51"/>
      <c r="E168" s="17"/>
      <c r="F168" s="52"/>
      <c r="G168" s="108"/>
    </row>
    <row r="169" spans="2:7">
      <c r="B169" s="69" t="s">
        <v>10</v>
      </c>
      <c r="C169" s="51"/>
      <c r="D169" s="51"/>
      <c r="E169" s="17"/>
      <c r="F169" s="52"/>
      <c r="G169" s="108"/>
    </row>
    <row r="170" spans="2:7">
      <c r="B170" s="91" t="s">
        <v>110</v>
      </c>
      <c r="C170" s="51">
        <v>824</v>
      </c>
      <c r="D170" s="48">
        <f>C170*1.06</f>
        <v>873.44</v>
      </c>
      <c r="E170" s="17" t="e">
        <f>B266</f>
        <v>#REF!</v>
      </c>
      <c r="F170" s="52" t="e">
        <f>C170*E170</f>
        <v>#REF!</v>
      </c>
      <c r="G170" s="108" t="e">
        <f>D170*E170</f>
        <v>#REF!</v>
      </c>
    </row>
    <row r="171" spans="2:7">
      <c r="B171" s="73"/>
      <c r="C171" s="51"/>
      <c r="D171" s="51"/>
      <c r="E171" s="17"/>
      <c r="F171" s="52"/>
      <c r="G171" s="108"/>
    </row>
    <row r="172" spans="2:7">
      <c r="B172" s="69" t="s">
        <v>11</v>
      </c>
      <c r="C172" s="51"/>
      <c r="D172" s="51"/>
      <c r="E172" s="17"/>
      <c r="F172" s="52"/>
      <c r="G172" s="108"/>
    </row>
    <row r="173" spans="2:7">
      <c r="B173" s="91" t="s">
        <v>110</v>
      </c>
      <c r="C173" s="51">
        <v>29</v>
      </c>
      <c r="D173" s="48">
        <f>C173*1.06</f>
        <v>30.740000000000002</v>
      </c>
      <c r="E173" s="17" t="e">
        <f>B271</f>
        <v>#REF!</v>
      </c>
      <c r="F173" s="52" t="e">
        <f>C173*E173</f>
        <v>#REF!</v>
      </c>
      <c r="G173" s="108" t="e">
        <f>D173*E173</f>
        <v>#REF!</v>
      </c>
    </row>
    <row r="174" spans="2:7">
      <c r="B174" s="73"/>
      <c r="C174" s="60"/>
      <c r="D174" s="51"/>
      <c r="E174" s="17"/>
      <c r="F174" s="52"/>
      <c r="G174" s="108"/>
    </row>
    <row r="175" spans="2:7">
      <c r="B175" s="69" t="s">
        <v>12</v>
      </c>
      <c r="C175" s="51"/>
      <c r="D175" s="51"/>
      <c r="E175" s="17"/>
      <c r="F175" s="52"/>
      <c r="G175" s="108"/>
    </row>
    <row r="176" spans="2:7">
      <c r="B176" s="73" t="s">
        <v>110</v>
      </c>
      <c r="C176" s="51">
        <v>7.2</v>
      </c>
      <c r="D176" s="116">
        <f>C176*1.06</f>
        <v>7.6320000000000006</v>
      </c>
      <c r="E176" s="17" t="e">
        <f>B275</f>
        <v>#REF!</v>
      </c>
      <c r="F176" s="52" t="e">
        <f>C176*E176</f>
        <v>#REF!</v>
      </c>
      <c r="G176" s="108" t="e">
        <f>D176*E176</f>
        <v>#REF!</v>
      </c>
    </row>
    <row r="177" spans="2:7">
      <c r="B177" s="73"/>
      <c r="C177" s="51"/>
      <c r="D177" s="51"/>
      <c r="E177" s="17"/>
      <c r="F177" s="52"/>
      <c r="G177" s="108"/>
    </row>
    <row r="178" spans="2:7">
      <c r="B178" s="69" t="s">
        <v>111</v>
      </c>
      <c r="C178" s="51"/>
      <c r="D178" s="51"/>
      <c r="E178" s="17"/>
      <c r="F178" s="52"/>
      <c r="G178" s="108"/>
    </row>
    <row r="179" spans="2:7">
      <c r="B179" s="73" t="s">
        <v>110</v>
      </c>
      <c r="C179" s="51">
        <v>824</v>
      </c>
      <c r="D179" s="48">
        <f>C179*1.06</f>
        <v>873.44</v>
      </c>
      <c r="E179" s="17"/>
      <c r="F179" s="52"/>
      <c r="G179" s="108"/>
    </row>
    <row r="180" spans="2:7">
      <c r="B180" s="73"/>
      <c r="C180" s="60"/>
      <c r="D180" s="51"/>
      <c r="E180" s="17"/>
      <c r="F180" s="52"/>
      <c r="G180" s="108"/>
    </row>
    <row r="181" spans="2:7">
      <c r="B181" s="69" t="s">
        <v>112</v>
      </c>
      <c r="C181" s="60"/>
      <c r="D181" s="51"/>
      <c r="E181" s="17"/>
      <c r="F181" s="52"/>
      <c r="G181" s="108"/>
    </row>
    <row r="182" spans="2:7">
      <c r="B182" s="73" t="s">
        <v>110</v>
      </c>
      <c r="C182" s="51">
        <v>206</v>
      </c>
      <c r="D182" s="48">
        <f>C182*1.06</f>
        <v>218.36</v>
      </c>
      <c r="E182" s="17"/>
      <c r="F182" s="52"/>
      <c r="G182" s="108"/>
    </row>
    <row r="183" spans="2:7">
      <c r="B183" s="73"/>
      <c r="C183" s="60"/>
      <c r="D183" s="51"/>
      <c r="E183" s="17"/>
      <c r="F183" s="52"/>
      <c r="G183" s="108"/>
    </row>
    <row r="184" spans="2:7">
      <c r="B184" s="69" t="s">
        <v>113</v>
      </c>
      <c r="C184" s="60"/>
      <c r="D184" s="51"/>
      <c r="E184" s="17"/>
      <c r="F184" s="52"/>
      <c r="G184" s="108"/>
    </row>
    <row r="185" spans="2:7">
      <c r="B185" s="73" t="s">
        <v>110</v>
      </c>
      <c r="C185" s="61">
        <v>2.5</v>
      </c>
      <c r="D185" s="48">
        <f>C185*1.06</f>
        <v>2.6500000000000004</v>
      </c>
      <c r="E185" s="17"/>
      <c r="F185" s="52"/>
      <c r="G185" s="108"/>
    </row>
    <row r="186" spans="2:7">
      <c r="B186" s="73"/>
      <c r="C186" s="60"/>
      <c r="D186" s="51"/>
      <c r="E186" s="17"/>
      <c r="F186" s="52"/>
      <c r="G186" s="108"/>
    </row>
    <row r="187" spans="2:7">
      <c r="B187" s="69" t="s">
        <v>114</v>
      </c>
      <c r="C187" s="60"/>
      <c r="D187" s="51"/>
      <c r="E187" s="17"/>
      <c r="F187" s="52"/>
      <c r="G187" s="108"/>
    </row>
    <row r="188" spans="2:7">
      <c r="B188" s="73" t="s">
        <v>110</v>
      </c>
      <c r="C188" s="61">
        <v>0.7</v>
      </c>
      <c r="D188" s="48">
        <f>C188*1.06</f>
        <v>0.74199999999999999</v>
      </c>
      <c r="E188" s="17"/>
      <c r="F188" s="52"/>
      <c r="G188" s="108"/>
    </row>
    <row r="189" spans="2:7">
      <c r="B189" s="73"/>
      <c r="C189" s="60"/>
      <c r="D189" s="51"/>
      <c r="E189" s="17"/>
      <c r="F189" s="52"/>
      <c r="G189" s="108"/>
    </row>
    <row r="190" spans="2:7">
      <c r="B190" s="69" t="s">
        <v>115</v>
      </c>
      <c r="C190" s="60"/>
      <c r="D190" s="51"/>
      <c r="E190" s="17"/>
      <c r="F190" s="52"/>
      <c r="G190" s="108"/>
    </row>
    <row r="191" spans="2:7">
      <c r="B191" s="73" t="s">
        <v>110</v>
      </c>
      <c r="C191" s="60">
        <v>0.3</v>
      </c>
      <c r="D191" s="117">
        <f>C191*1.06</f>
        <v>0.318</v>
      </c>
      <c r="E191" s="17" t="e">
        <f>B279</f>
        <v>#REF!</v>
      </c>
      <c r="F191" s="52" t="e">
        <f>C191*E191</f>
        <v>#REF!</v>
      </c>
      <c r="G191" s="108" t="e">
        <f>D191*E191</f>
        <v>#REF!</v>
      </c>
    </row>
    <row r="192" spans="2:7">
      <c r="B192" s="73"/>
      <c r="C192" s="60"/>
      <c r="D192" s="51"/>
      <c r="E192" s="17"/>
      <c r="F192" s="52"/>
      <c r="G192" s="108"/>
    </row>
    <row r="193" spans="2:9">
      <c r="B193" s="69" t="s">
        <v>116</v>
      </c>
      <c r="C193" s="60"/>
      <c r="D193" s="51"/>
      <c r="E193" s="17"/>
      <c r="F193" s="52"/>
      <c r="G193" s="108"/>
    </row>
    <row r="194" spans="2:9">
      <c r="B194" s="73" t="s">
        <v>110</v>
      </c>
      <c r="C194" s="51">
        <v>229</v>
      </c>
      <c r="D194" s="117">
        <f>C194*1.06</f>
        <v>242.74</v>
      </c>
      <c r="E194" s="17"/>
      <c r="F194" s="52"/>
      <c r="G194" s="108"/>
    </row>
    <row r="195" spans="2:9">
      <c r="B195" s="73"/>
      <c r="C195" s="51"/>
      <c r="D195" s="51"/>
      <c r="E195" s="17"/>
      <c r="F195" s="52"/>
      <c r="G195" s="108"/>
    </row>
    <row r="196" spans="2:9">
      <c r="B196" s="69" t="s">
        <v>117</v>
      </c>
      <c r="C196" s="51"/>
      <c r="D196" s="51"/>
      <c r="E196" s="17"/>
      <c r="F196" s="52"/>
      <c r="G196" s="108"/>
    </row>
    <row r="197" spans="2:9">
      <c r="B197" s="74" t="s">
        <v>110</v>
      </c>
      <c r="C197" s="53">
        <v>67</v>
      </c>
      <c r="D197" s="117">
        <f>C197*1.06</f>
        <v>71.02000000000001</v>
      </c>
      <c r="E197" s="9"/>
      <c r="F197" s="30"/>
      <c r="G197" s="109"/>
    </row>
    <row r="198" spans="2:9">
      <c r="B198" s="90"/>
      <c r="C198" s="110"/>
      <c r="D198" s="15"/>
      <c r="E198" s="17"/>
      <c r="F198" s="17"/>
      <c r="G198" s="88"/>
    </row>
    <row r="199" spans="2:9">
      <c r="B199" s="69"/>
      <c r="C199" s="110"/>
      <c r="D199" s="15"/>
      <c r="E199" s="17"/>
      <c r="F199" s="111" t="e">
        <f>SUM(F153:F197)</f>
        <v>#REF!</v>
      </c>
      <c r="G199" s="112" t="e">
        <f>SUM(G153:G197)</f>
        <v>#REF!</v>
      </c>
      <c r="I199" s="7"/>
    </row>
    <row r="200" spans="2:9">
      <c r="B200" s="71" t="s">
        <v>32</v>
      </c>
      <c r="C200" s="106">
        <v>51500</v>
      </c>
      <c r="D200" s="113">
        <v>55000</v>
      </c>
      <c r="E200" s="9"/>
      <c r="F200" s="9" t="s">
        <v>33</v>
      </c>
      <c r="G200" s="75" t="s">
        <v>34</v>
      </c>
    </row>
    <row r="201" spans="2:9">
      <c r="B201" s="5"/>
    </row>
    <row r="202" spans="2:9">
      <c r="B202" s="3"/>
      <c r="F202" s="11"/>
    </row>
    <row r="203" spans="2:9">
      <c r="B203">
        <v>1</v>
      </c>
      <c r="C203" s="13" t="e">
        <f>IF(AND(F199&lt;$C$200,G199&lt;$D$200),0,0)</f>
        <v>#REF!</v>
      </c>
    </row>
    <row r="204" spans="2:9">
      <c r="B204">
        <v>2</v>
      </c>
      <c r="C204" t="e">
        <f>IF(AND(F199&lt;C200,G199&gt;D200),(D200-F199),0)</f>
        <v>#REF!</v>
      </c>
      <c r="D204" t="s">
        <v>35</v>
      </c>
    </row>
    <row r="205" spans="2:9">
      <c r="B205">
        <v>3</v>
      </c>
      <c r="C205" t="e">
        <f>IF(AND(F199&gt;C200,G199&gt;D200),(D200-C200),0)</f>
        <v>#REF!</v>
      </c>
      <c r="D205" t="s">
        <v>36</v>
      </c>
    </row>
    <row r="206" spans="2:9">
      <c r="B206" s="9">
        <v>4</v>
      </c>
      <c r="C206" s="9" t="e">
        <f>IF(AND(F199&gt;C200,G199&lt;D200),(G199-$C$200),0)</f>
        <v>#REF!</v>
      </c>
      <c r="D206" t="s">
        <v>37</v>
      </c>
    </row>
    <row r="207" spans="2:9">
      <c r="C207" s="2" t="e">
        <f>SUM(C203:C206)</f>
        <v>#REF!</v>
      </c>
    </row>
    <row r="208" spans="2:9">
      <c r="C208" s="2"/>
    </row>
    <row r="209" spans="2:4">
      <c r="C209" s="2"/>
    </row>
    <row r="210" spans="2:4" ht="15">
      <c r="B210" s="63" t="s">
        <v>132</v>
      </c>
      <c r="C210" s="2"/>
      <c r="D210" s="20" t="e">
        <f>E282</f>
        <v>#REF!</v>
      </c>
    </row>
    <row r="211" spans="2:4">
      <c r="C211" s="2"/>
    </row>
    <row r="212" spans="2:4">
      <c r="C212" s="2"/>
    </row>
    <row r="213" spans="2:4">
      <c r="C213" s="2"/>
    </row>
    <row r="214" spans="2:4">
      <c r="B214" s="2" t="s">
        <v>72</v>
      </c>
    </row>
    <row r="216" spans="2:4">
      <c r="B216" t="s">
        <v>73</v>
      </c>
      <c r="C216" s="1" t="e">
        <f>IF(AND(#REF!=2,#REF!&lt;6),-12500,IF(AND(#REF!&gt;2,#REF!&lt;6),-19000,IF(AND(#REF!&lt;2,#REF!&lt;6),IF(#REF!&gt;5,4000,#REF!*800),0)))</f>
        <v>#REF!</v>
      </c>
    </row>
    <row r="217" spans="2:4">
      <c r="B217" t="s">
        <v>74</v>
      </c>
      <c r="C217" s="1" t="e">
        <f>IF(AND(#REF!=2,#REF!&gt;5),-12800,IF(AND(#REF!&gt;2,#REF!&gt;5),-18100,IF(AND(#REF!&lt;2,#REF!&gt;5),IF(#REF!&gt;5,4000,#REF!*800),0)))</f>
        <v>#REF!</v>
      </c>
    </row>
    <row r="218" spans="2:4">
      <c r="B218" t="s">
        <v>56</v>
      </c>
      <c r="C218" s="1" t="e">
        <f>IF(AND(#REF!=2,#REF!&gt;0),-12800,IF(AND(#REF!&gt;2,#REF!&gt;0),-18100,IF(AND(#REF!&lt;2,#REF!&gt;0),IF(#REF!&gt;27,4000,#REF!*148),0)))</f>
        <v>#REF!</v>
      </c>
    </row>
    <row r="219" spans="2:4">
      <c r="C219" s="2" t="e">
        <f>IF(C218&gt;0,C218,IF(C218&lt;0,C218,IF(C217&gt;0,C217,IF(C217&lt;0,C217,C216))))</f>
        <v>#REF!</v>
      </c>
    </row>
    <row r="220" spans="2:4">
      <c r="B220" t="s">
        <v>75</v>
      </c>
      <c r="C220" t="e">
        <f>IF(#REF!&gt;49,5000,IF(#REF!&gt;5,#REF!*100,0))</f>
        <v>#REF!</v>
      </c>
    </row>
    <row r="221" spans="2:4">
      <c r="C221" s="2" t="e">
        <f>IF(C219&gt;0,C219,IF(C219&lt;0,C219,C220))</f>
        <v>#REF!</v>
      </c>
    </row>
    <row r="222" spans="2:4">
      <c r="B222" t="s">
        <v>76</v>
      </c>
      <c r="C222" s="64" t="e">
        <f>IF(#REF!&gt;50,0,IF(#REF!&lt;10,0,(#REF!*0)))</f>
        <v>#REF!</v>
      </c>
    </row>
    <row r="223" spans="2:4">
      <c r="C223" s="31" t="e">
        <f>IF(C221&gt;0,C221,IF(C221&lt;0,C221,C222))</f>
        <v>#REF!</v>
      </c>
      <c r="D223" t="s">
        <v>77</v>
      </c>
    </row>
    <row r="225" spans="1:34">
      <c r="F225" s="2"/>
    </row>
    <row r="230" spans="1:34" ht="16.5" customHeight="1">
      <c r="A230" s="24" t="s">
        <v>4</v>
      </c>
      <c r="B230" s="28">
        <v>0</v>
      </c>
      <c r="C230" s="25" t="s">
        <v>5</v>
      </c>
      <c r="D230" s="10"/>
      <c r="E230" s="10"/>
      <c r="F230" s="10"/>
      <c r="G230" s="10"/>
      <c r="H230" s="10"/>
      <c r="I230" s="2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 customHeight="1">
      <c r="A231" s="24" t="s">
        <v>57</v>
      </c>
      <c r="B231" s="28">
        <v>0</v>
      </c>
      <c r="C231" s="25" t="s">
        <v>55</v>
      </c>
      <c r="D231" s="10"/>
      <c r="E231" s="10"/>
      <c r="F231" s="10"/>
      <c r="G231" s="10"/>
      <c r="H231" s="10"/>
      <c r="I231" s="2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3" spans="1:34" ht="16.5" customHeight="1">
      <c r="A233" s="24" t="s">
        <v>16</v>
      </c>
      <c r="B233" s="28">
        <v>0</v>
      </c>
      <c r="C233" s="25" t="s">
        <v>5</v>
      </c>
      <c r="D233" s="10"/>
      <c r="E233" s="10"/>
      <c r="F233" s="10"/>
      <c r="G233" s="10"/>
      <c r="H233" s="10"/>
      <c r="I233" s="2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 customHeight="1">
      <c r="A234" s="24" t="s">
        <v>60</v>
      </c>
      <c r="B234" s="28">
        <v>0</v>
      </c>
      <c r="C234" s="25" t="s">
        <v>5</v>
      </c>
      <c r="D234" s="10"/>
      <c r="E234" s="10"/>
      <c r="F234" s="10"/>
      <c r="G234" s="10"/>
      <c r="H234" s="10"/>
      <c r="I234" s="2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 customHeight="1">
      <c r="A235" s="24" t="s">
        <v>7</v>
      </c>
      <c r="B235" s="28">
        <v>0</v>
      </c>
      <c r="C235" s="25" t="s">
        <v>5</v>
      </c>
      <c r="D235" s="10"/>
      <c r="E235" s="10"/>
      <c r="F235" s="10"/>
      <c r="G235" s="10"/>
      <c r="H235" s="10"/>
      <c r="I235" s="2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7" spans="1:34" ht="16.5" customHeight="1">
      <c r="A237" s="24" t="s">
        <v>10</v>
      </c>
      <c r="B237" s="28">
        <v>0</v>
      </c>
      <c r="C237" s="25" t="s">
        <v>5</v>
      </c>
      <c r="D237" s="10"/>
      <c r="E237" s="10"/>
      <c r="F237" s="10"/>
      <c r="G237" s="10"/>
      <c r="H237" s="10"/>
      <c r="I237" s="2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5.75" customHeight="1">
      <c r="A238" s="24" t="s">
        <v>11</v>
      </c>
      <c r="B238" s="27">
        <v>0</v>
      </c>
      <c r="C238" s="25" t="s">
        <v>5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5">
      <c r="A239" s="24" t="s">
        <v>12</v>
      </c>
      <c r="B239" s="23">
        <v>0</v>
      </c>
      <c r="C239" s="25" t="s">
        <v>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2" spans="1:5">
      <c r="A242" s="78" t="s">
        <v>46</v>
      </c>
      <c r="B242" s="42"/>
      <c r="C242" s="50"/>
      <c r="D242" s="50"/>
      <c r="E242" s="87"/>
    </row>
    <row r="243" spans="1:5">
      <c r="A243" s="71" t="s">
        <v>20</v>
      </c>
      <c r="B243" s="4" t="s">
        <v>21</v>
      </c>
      <c r="C243" s="4" t="s">
        <v>22</v>
      </c>
      <c r="D243" s="4" t="s">
        <v>0</v>
      </c>
      <c r="E243" s="72" t="s">
        <v>1</v>
      </c>
    </row>
    <row r="244" spans="1:5">
      <c r="A244" s="71" t="s">
        <v>4</v>
      </c>
      <c r="B244" s="5"/>
      <c r="C244" s="17"/>
      <c r="D244" s="17"/>
      <c r="E244" s="88"/>
    </row>
    <row r="245" spans="1:5">
      <c r="A245" s="73" t="s">
        <v>23</v>
      </c>
      <c r="B245" s="5" t="e">
        <f>IF(#REF!&lt;9,#REF!,8)</f>
        <v>#REF!</v>
      </c>
      <c r="C245" s="52">
        <f>D153-C153</f>
        <v>173.03999999999996</v>
      </c>
      <c r="D245" s="54" t="e">
        <f>B245*C245</f>
        <v>#REF!</v>
      </c>
      <c r="E245" s="88"/>
    </row>
    <row r="246" spans="1:5">
      <c r="A246" s="73" t="s">
        <v>44</v>
      </c>
      <c r="B246" s="5" t="e">
        <f>IF(#REF!&lt;9,0,#REF!-8)</f>
        <v>#REF!</v>
      </c>
      <c r="C246" s="52">
        <f>D154-C154</f>
        <v>117.42000000000007</v>
      </c>
      <c r="D246" s="54" t="e">
        <f>B246*C246</f>
        <v>#REF!</v>
      </c>
      <c r="E246" s="89" t="e">
        <f>SUM(D245:D246)</f>
        <v>#REF!</v>
      </c>
    </row>
    <row r="247" spans="1:5">
      <c r="A247" s="90"/>
      <c r="B247" s="5"/>
      <c r="C247" s="52"/>
      <c r="D247" s="54"/>
      <c r="E247" s="88"/>
    </row>
    <row r="248" spans="1:5">
      <c r="A248" s="90"/>
      <c r="B248" s="5"/>
      <c r="C248" s="52"/>
      <c r="D248" s="54"/>
      <c r="E248" s="88"/>
    </row>
    <row r="249" spans="1:5">
      <c r="A249" s="69" t="s">
        <v>6</v>
      </c>
      <c r="B249" s="5"/>
      <c r="C249" s="17"/>
      <c r="D249" s="54"/>
      <c r="E249" s="88"/>
    </row>
    <row r="250" spans="1:5">
      <c r="A250" s="73" t="s">
        <v>110</v>
      </c>
      <c r="B250" s="5" t="e">
        <f>#REF!</f>
        <v>#REF!</v>
      </c>
      <c r="C250" s="52">
        <f>D157-C157</f>
        <v>25.020000000000039</v>
      </c>
      <c r="D250" s="54" t="e">
        <f>B250*C250</f>
        <v>#REF!</v>
      </c>
      <c r="E250" s="88"/>
    </row>
    <row r="251" spans="1:5">
      <c r="A251" s="73"/>
      <c r="B251" s="5"/>
      <c r="C251" s="52"/>
      <c r="D251" s="54"/>
      <c r="E251" s="89" t="e">
        <f>SUM(D250:D252)</f>
        <v>#REF!</v>
      </c>
    </row>
    <row r="252" spans="1:5">
      <c r="A252" s="74"/>
      <c r="B252" s="5"/>
      <c r="C252" s="52"/>
      <c r="D252" s="54"/>
      <c r="E252" s="88"/>
    </row>
    <row r="253" spans="1:5">
      <c r="A253" s="69" t="s">
        <v>139</v>
      </c>
      <c r="B253" s="5"/>
      <c r="C253" s="52"/>
      <c r="D253" s="54"/>
      <c r="E253" s="88"/>
    </row>
    <row r="254" spans="1:5">
      <c r="A254" s="73" t="s">
        <v>25</v>
      </c>
      <c r="B254" s="5" t="e">
        <f>IF(#REF!&lt;41,#REF!,40)</f>
        <v>#REF!</v>
      </c>
      <c r="C254" s="52">
        <f>D160-C160</f>
        <v>41.100000000000023</v>
      </c>
      <c r="D254" s="54" t="e">
        <f>B254*C254</f>
        <v>#REF!</v>
      </c>
      <c r="E254" s="88"/>
    </row>
    <row r="255" spans="1:5">
      <c r="A255" s="74" t="s">
        <v>45</v>
      </c>
      <c r="B255" s="5" t="e">
        <f>IF(#REF!&lt;41,0,#REF!-Satser!B210)</f>
        <v>#REF!</v>
      </c>
      <c r="C255" s="52">
        <f>D161-C161</f>
        <v>27.480000000000018</v>
      </c>
      <c r="D255" s="54" t="e">
        <f>B255*C255</f>
        <v>#REF!</v>
      </c>
      <c r="E255" s="88"/>
    </row>
    <row r="256" spans="1:5">
      <c r="A256" s="73"/>
      <c r="B256" s="5"/>
      <c r="C256" s="52"/>
      <c r="D256" s="54"/>
      <c r="E256" s="89" t="e">
        <f>SUM(D254:D255)</f>
        <v>#REF!</v>
      </c>
    </row>
    <row r="257" spans="1:5">
      <c r="A257" s="69" t="s">
        <v>8</v>
      </c>
      <c r="B257" s="5"/>
      <c r="C257" s="52"/>
      <c r="D257" s="54"/>
      <c r="E257" s="88"/>
    </row>
    <row r="258" spans="1:5">
      <c r="A258" s="73" t="s">
        <v>110</v>
      </c>
      <c r="B258" s="5" t="e">
        <f>#REF!</f>
        <v>#REF!</v>
      </c>
      <c r="C258" s="52">
        <f>D164-C164</f>
        <v>21.78000000000003</v>
      </c>
      <c r="D258" s="54" t="e">
        <f>B258*C258</f>
        <v>#REF!</v>
      </c>
      <c r="E258" s="88"/>
    </row>
    <row r="259" spans="1:5">
      <c r="A259" s="73"/>
      <c r="B259" s="5"/>
      <c r="C259" s="52"/>
      <c r="D259" s="54"/>
      <c r="E259" s="89" t="e">
        <f>D258</f>
        <v>#REF!</v>
      </c>
    </row>
    <row r="260" spans="1:5">
      <c r="A260" s="90"/>
      <c r="B260" s="5"/>
      <c r="C260" s="52"/>
      <c r="D260" s="54"/>
      <c r="E260" s="88"/>
    </row>
    <row r="261" spans="1:5">
      <c r="A261" s="69" t="s">
        <v>16</v>
      </c>
      <c r="B261" s="5"/>
      <c r="C261" s="17"/>
      <c r="D261" s="54"/>
      <c r="E261" s="88"/>
    </row>
    <row r="262" spans="1:5">
      <c r="A262" s="91" t="s">
        <v>110</v>
      </c>
      <c r="B262" s="5" t="e">
        <f>#REF!</f>
        <v>#REF!</v>
      </c>
      <c r="C262" s="52">
        <f>D167-C167</f>
        <v>32.040000000000077</v>
      </c>
      <c r="D262" s="54" t="e">
        <f>B262*C262</f>
        <v>#REF!</v>
      </c>
      <c r="E262" s="88"/>
    </row>
    <row r="263" spans="1:5">
      <c r="A263" s="74"/>
      <c r="B263" s="5"/>
      <c r="C263" s="52"/>
      <c r="D263" s="54"/>
      <c r="E263" s="89" t="e">
        <f>D262</f>
        <v>#REF!</v>
      </c>
    </row>
    <row r="264" spans="1:5">
      <c r="A264" s="73"/>
      <c r="B264" s="5"/>
      <c r="C264" s="52"/>
      <c r="D264" s="54"/>
      <c r="E264" s="89"/>
    </row>
    <row r="265" spans="1:5">
      <c r="A265" s="69" t="s">
        <v>10</v>
      </c>
      <c r="B265" s="5"/>
      <c r="C265" s="17"/>
      <c r="D265" s="54"/>
      <c r="E265" s="88"/>
    </row>
    <row r="266" spans="1:5">
      <c r="A266" s="91" t="s">
        <v>110</v>
      </c>
      <c r="B266" s="5" t="e">
        <f>#REF!</f>
        <v>#REF!</v>
      </c>
      <c r="C266" s="52">
        <f>D170-C170</f>
        <v>49.440000000000055</v>
      </c>
      <c r="D266" s="54" t="e">
        <f>B266*C266</f>
        <v>#REF!</v>
      </c>
      <c r="E266" s="88"/>
    </row>
    <row r="267" spans="1:5">
      <c r="A267" s="74"/>
      <c r="B267" s="5"/>
      <c r="C267" s="52"/>
      <c r="D267" s="54"/>
      <c r="E267" s="89" t="e">
        <f>D266</f>
        <v>#REF!</v>
      </c>
    </row>
    <row r="268" spans="1:5">
      <c r="A268" s="90"/>
      <c r="B268" s="17"/>
      <c r="C268" s="17"/>
      <c r="D268" s="17"/>
      <c r="E268" s="88"/>
    </row>
    <row r="269" spans="1:5">
      <c r="A269" s="90"/>
      <c r="B269" s="17"/>
      <c r="C269" s="17"/>
      <c r="D269" s="17"/>
      <c r="E269" s="88"/>
    </row>
    <row r="270" spans="1:5">
      <c r="A270" s="69" t="s">
        <v>11</v>
      </c>
      <c r="B270" s="5"/>
      <c r="C270" s="52"/>
      <c r="D270" s="54"/>
      <c r="E270" s="88"/>
    </row>
    <row r="271" spans="1:5">
      <c r="A271" s="91" t="s">
        <v>110</v>
      </c>
      <c r="B271" s="5" t="e">
        <f>#REF!</f>
        <v>#REF!</v>
      </c>
      <c r="C271" s="52">
        <f>D173-C173</f>
        <v>1.740000000000002</v>
      </c>
      <c r="D271" s="54" t="e">
        <f>B271*C271</f>
        <v>#REF!</v>
      </c>
      <c r="E271" s="88"/>
    </row>
    <row r="272" spans="1:5">
      <c r="A272" s="91"/>
      <c r="B272" s="5"/>
      <c r="C272" s="52"/>
      <c r="D272" s="54"/>
      <c r="E272" s="89" t="e">
        <f>D271</f>
        <v>#REF!</v>
      </c>
    </row>
    <row r="273" spans="1:7">
      <c r="A273" s="91"/>
      <c r="B273" s="5"/>
      <c r="C273" s="52"/>
      <c r="D273" s="54"/>
      <c r="E273" s="88"/>
    </row>
    <row r="274" spans="1:7">
      <c r="A274" s="69" t="s">
        <v>12</v>
      </c>
      <c r="B274" s="5"/>
      <c r="C274" s="52"/>
      <c r="D274" s="54"/>
      <c r="E274" s="88"/>
    </row>
    <row r="275" spans="1:7">
      <c r="A275" s="73" t="s">
        <v>110</v>
      </c>
      <c r="B275" s="5" t="e">
        <f>#REF!</f>
        <v>#REF!</v>
      </c>
      <c r="C275" s="92">
        <f>D176-C176</f>
        <v>0.43200000000000038</v>
      </c>
      <c r="D275" s="54" t="e">
        <f>B275*C275</f>
        <v>#REF!</v>
      </c>
      <c r="E275" s="88"/>
    </row>
    <row r="276" spans="1:7">
      <c r="A276" s="74"/>
      <c r="B276" s="5"/>
      <c r="C276" s="92"/>
      <c r="D276" s="54"/>
      <c r="E276" s="89" t="e">
        <f>D275</f>
        <v>#REF!</v>
      </c>
    </row>
    <row r="277" spans="1:7">
      <c r="A277" s="90"/>
      <c r="B277" s="17"/>
      <c r="C277" s="17"/>
      <c r="D277" s="17"/>
      <c r="E277" s="88"/>
    </row>
    <row r="278" spans="1:7">
      <c r="A278" s="69" t="s">
        <v>129</v>
      </c>
      <c r="B278" s="17"/>
      <c r="C278" s="17"/>
      <c r="D278" s="17"/>
      <c r="E278" s="88"/>
    </row>
    <row r="279" spans="1:7">
      <c r="A279" s="90"/>
      <c r="B279" s="17" t="e">
        <f>#REF!</f>
        <v>#REF!</v>
      </c>
      <c r="C279" s="92">
        <f>D191-C191</f>
        <v>1.8000000000000016E-2</v>
      </c>
      <c r="D279" s="17" t="e">
        <f>B279*C279</f>
        <v>#REF!</v>
      </c>
      <c r="E279" s="88"/>
    </row>
    <row r="280" spans="1:7">
      <c r="A280" s="90"/>
      <c r="B280" s="17"/>
      <c r="C280" s="17"/>
      <c r="D280" s="17"/>
      <c r="E280" s="79" t="e">
        <f>D279</f>
        <v>#REF!</v>
      </c>
    </row>
    <row r="281" spans="1:7">
      <c r="A281" s="90"/>
      <c r="B281" s="17"/>
      <c r="C281" s="17"/>
      <c r="D281" s="17"/>
      <c r="E281" s="88"/>
    </row>
    <row r="282" spans="1:7">
      <c r="A282" s="71" t="s">
        <v>130</v>
      </c>
      <c r="B282" s="4"/>
      <c r="C282" s="4"/>
      <c r="D282" s="4"/>
      <c r="E282" s="93" t="e">
        <f>SUM(E246:E280)</f>
        <v>#REF!</v>
      </c>
    </row>
    <row r="285" spans="1:7">
      <c r="B285" t="s">
        <v>153</v>
      </c>
      <c r="D285" t="s">
        <v>156</v>
      </c>
      <c r="E285" t="s">
        <v>157</v>
      </c>
      <c r="G285" t="s">
        <v>30</v>
      </c>
    </row>
    <row r="287" spans="1:7">
      <c r="B287" t="s">
        <v>62</v>
      </c>
      <c r="C287">
        <v>750</v>
      </c>
      <c r="E287" t="e">
        <f>#REF!+#REF!+#REF!</f>
        <v>#REF!</v>
      </c>
      <c r="G287" t="e">
        <f>E287*C287</f>
        <v>#REF!</v>
      </c>
    </row>
    <row r="288" spans="1:7">
      <c r="B288" t="s">
        <v>38</v>
      </c>
      <c r="C288">
        <v>250</v>
      </c>
      <c r="E288" t="e">
        <f>#REF!</f>
        <v>#REF!</v>
      </c>
      <c r="G288" t="e">
        <f t="shared" ref="G288:G294" si="3">E288*C288</f>
        <v>#REF!</v>
      </c>
    </row>
    <row r="289" spans="2:8">
      <c r="B289" t="s">
        <v>48</v>
      </c>
      <c r="C289">
        <v>50</v>
      </c>
      <c r="E289" t="e">
        <f>#REF!</f>
        <v>#REF!</v>
      </c>
      <c r="G289" t="e">
        <f t="shared" si="3"/>
        <v>#REF!</v>
      </c>
    </row>
    <row r="290" spans="2:8">
      <c r="B290" t="s">
        <v>47</v>
      </c>
      <c r="C290">
        <v>20</v>
      </c>
      <c r="E290" t="e">
        <f>#REF!+#REF!*0.6</f>
        <v>#REF!</v>
      </c>
      <c r="G290" t="e">
        <f t="shared" si="3"/>
        <v>#REF!</v>
      </c>
    </row>
    <row r="291" spans="2:8">
      <c r="B291" t="s">
        <v>16</v>
      </c>
      <c r="C291">
        <v>315</v>
      </c>
      <c r="D291">
        <v>440</v>
      </c>
      <c r="E291" t="e">
        <f>IF(#REF!&lt;5,#REF!,0)</f>
        <v>#REF!</v>
      </c>
      <c r="F291" t="e">
        <f>IF(#REF!&gt;5,#REF!,0)</f>
        <v>#REF!</v>
      </c>
      <c r="G291" t="e">
        <f t="shared" si="3"/>
        <v>#REF!</v>
      </c>
      <c r="H291" t="e">
        <f>F291*D291</f>
        <v>#REF!</v>
      </c>
    </row>
    <row r="292" spans="2:8">
      <c r="B292" t="s">
        <v>154</v>
      </c>
      <c r="C292">
        <v>95</v>
      </c>
      <c r="D292">
        <v>140</v>
      </c>
      <c r="E292" t="e">
        <f>IF(#REF!&lt;5,#REF!,0)</f>
        <v>#REF!</v>
      </c>
      <c r="F292" t="e">
        <f>IF(#REF!&gt;5,#REF!,0)</f>
        <v>#REF!</v>
      </c>
      <c r="G292" t="e">
        <f t="shared" si="3"/>
        <v>#REF!</v>
      </c>
      <c r="H292" t="e">
        <f>F292*D292</f>
        <v>#REF!</v>
      </c>
    </row>
    <row r="293" spans="2:8">
      <c r="B293" t="s">
        <v>155</v>
      </c>
      <c r="C293">
        <v>50</v>
      </c>
      <c r="E293" t="e">
        <f>#REF!</f>
        <v>#REF!</v>
      </c>
      <c r="G293" t="e">
        <f t="shared" si="3"/>
        <v>#REF!</v>
      </c>
    </row>
    <row r="294" spans="2:8">
      <c r="B294" t="s">
        <v>11</v>
      </c>
      <c r="C294">
        <v>160</v>
      </c>
      <c r="D294" s="5"/>
      <c r="E294" s="1" t="e">
        <f>#REF!</f>
        <v>#REF!</v>
      </c>
      <c r="F294" s="18"/>
      <c r="G294" t="e">
        <f t="shared" si="3"/>
        <v>#REF!</v>
      </c>
      <c r="H294" s="20"/>
    </row>
    <row r="295" spans="2:8">
      <c r="D295" s="5"/>
      <c r="E295" s="1"/>
      <c r="F295" s="18" t="s">
        <v>158</v>
      </c>
      <c r="G295" s="19" t="e">
        <f>SUM(G287:G294)</f>
        <v>#REF!</v>
      </c>
      <c r="H295" s="19" t="e">
        <f>SUM(H287:H294)</f>
        <v>#REF!</v>
      </c>
    </row>
    <row r="296" spans="2:8">
      <c r="D296" s="5"/>
      <c r="E296" s="1"/>
      <c r="F296" s="18"/>
      <c r="G296" s="19"/>
      <c r="H296" s="20" t="e">
        <f>H295+G295</f>
        <v>#REF!</v>
      </c>
    </row>
    <row r="297" spans="2:8">
      <c r="D297" s="5"/>
      <c r="E297" s="1"/>
      <c r="F297" s="18"/>
      <c r="G297" s="19"/>
      <c r="H297" s="20"/>
    </row>
    <row r="298" spans="2:8">
      <c r="D298" s="1"/>
      <c r="E298" s="1"/>
      <c r="F298" s="7"/>
    </row>
    <row r="299" spans="2:8">
      <c r="D299" s="1"/>
      <c r="E299" s="1"/>
      <c r="F299" s="7"/>
    </row>
  </sheetData>
  <customSheetViews>
    <customSheetView guid="{CCA592C6-FA5B-4C3F-AAFD-7D399E08D11C}" state="hidden" topLeftCell="A145">
      <selection activeCell="F165" sqref="F165"/>
      <pageMargins left="0.78740157499999996" right="0.78740157499999996" top="0.984251969" bottom="0.984251969" header="0.5" footer="0.5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orientation="portrait" r:id="rId2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1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2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3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4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5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6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"/>
  <dimension ref="A1"/>
  <sheetViews>
    <sheetView workbookViewId="0"/>
  </sheetViews>
  <sheetFormatPr baseColWidth="10" defaultRowHeight="12.75"/>
  <sheetData/>
  <customSheetViews>
    <customSheetView guid="{CCA592C6-FA5B-4C3F-AAFD-7D399E08D11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7"/>
  <dimension ref="A1"/>
  <sheetViews>
    <sheetView workbookViewId="0"/>
  </sheetViews>
  <sheetFormatPr baseColWidth="10" defaultRowHeight="12.75"/>
  <sheetData/>
  <customSheetViews>
    <customSheetView guid="{CCA592C6-FA5B-4C3F-AAFD-7D399E08D11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8"/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19"/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F639"/>
  <sheetViews>
    <sheetView tabSelected="1" zoomScale="80" zoomScaleNormal="80" workbookViewId="0">
      <selection activeCell="B18" sqref="B18"/>
    </sheetView>
  </sheetViews>
  <sheetFormatPr baseColWidth="10" defaultColWidth="9.140625" defaultRowHeight="12.75"/>
  <cols>
    <col min="1" max="1" width="48.42578125" style="166" customWidth="1"/>
    <col min="2" max="2" width="11.140625" style="166" customWidth="1"/>
    <col min="3" max="3" width="9.85546875" style="166" customWidth="1"/>
    <col min="4" max="4" width="50.85546875" style="122" customWidth="1"/>
    <col min="5" max="5" width="18.5703125" style="122" customWidth="1"/>
    <col min="6" max="6" width="24.42578125" style="162" customWidth="1"/>
    <col min="7" max="7" width="18" style="122" hidden="1" customWidth="1"/>
    <col min="8" max="8" width="15" style="122" hidden="1" customWidth="1"/>
    <col min="9" max="32" width="9.140625" style="122" customWidth="1"/>
    <col min="33" max="16384" width="9.140625" style="166"/>
  </cols>
  <sheetData>
    <row r="1" spans="1:8" ht="26.25">
      <c r="A1" s="118" t="s">
        <v>272</v>
      </c>
      <c r="B1" s="121"/>
      <c r="C1" s="121"/>
      <c r="D1" s="263"/>
    </row>
    <row r="2" spans="1:8" ht="13.5" customHeight="1" thickBot="1">
      <c r="A2" s="123"/>
      <c r="B2" s="123"/>
      <c r="C2" s="123"/>
      <c r="D2" s="124"/>
      <c r="E2" s="124"/>
      <c r="F2" s="163"/>
    </row>
    <row r="3" spans="1:8" ht="20.25" customHeight="1" thickBot="1">
      <c r="A3" s="119" t="s">
        <v>122</v>
      </c>
      <c r="B3" s="120"/>
      <c r="C3" s="179"/>
      <c r="D3" s="189" t="s">
        <v>135</v>
      </c>
      <c r="E3" s="283" t="s">
        <v>245</v>
      </c>
      <c r="F3" s="284"/>
      <c r="G3" s="285" t="s">
        <v>142</v>
      </c>
      <c r="H3" s="286"/>
    </row>
    <row r="4" spans="1:8" ht="16.5" customHeight="1">
      <c r="A4" s="197" t="s">
        <v>162</v>
      </c>
      <c r="B4" s="198">
        <v>1</v>
      </c>
      <c r="C4" s="290"/>
      <c r="D4" s="180"/>
      <c r="E4" s="181" t="s">
        <v>192</v>
      </c>
      <c r="F4" s="182" t="s">
        <v>197</v>
      </c>
      <c r="G4" s="126"/>
      <c r="H4" s="125" t="s">
        <v>1</v>
      </c>
    </row>
    <row r="5" spans="1:8" ht="16.5" customHeight="1">
      <c r="A5" s="199" t="s">
        <v>204</v>
      </c>
      <c r="B5" s="200"/>
      <c r="C5" s="200"/>
      <c r="D5" s="218" t="s">
        <v>203</v>
      </c>
      <c r="E5" s="221" t="s">
        <v>264</v>
      </c>
      <c r="F5" s="222">
        <f>(B10+B11)*Satser!C277</f>
        <v>0</v>
      </c>
      <c r="G5" s="129">
        <v>0.09</v>
      </c>
      <c r="H5" s="130">
        <f>(B10+B11)*G5</f>
        <v>0</v>
      </c>
    </row>
    <row r="6" spans="1:8" ht="15" customHeight="1">
      <c r="A6" s="199"/>
      <c r="B6" s="200"/>
      <c r="C6" s="200"/>
      <c r="D6" s="219" t="s">
        <v>79</v>
      </c>
      <c r="E6" s="223" t="s">
        <v>265</v>
      </c>
      <c r="F6" s="222">
        <f>B13*Satser!C279</f>
        <v>0</v>
      </c>
      <c r="G6" s="129">
        <v>2</v>
      </c>
      <c r="H6" s="130" t="e">
        <f>#REF!*G6</f>
        <v>#REF!</v>
      </c>
    </row>
    <row r="7" spans="1:8" ht="15" customHeight="1">
      <c r="A7" s="201" t="s">
        <v>269</v>
      </c>
      <c r="B7" s="202" t="s">
        <v>236</v>
      </c>
      <c r="C7" s="200"/>
      <c r="D7" s="219" t="s">
        <v>51</v>
      </c>
      <c r="E7" s="223" t="s">
        <v>266</v>
      </c>
      <c r="F7" s="222">
        <f>B15*Satser!C283</f>
        <v>0</v>
      </c>
      <c r="G7" s="129"/>
      <c r="H7" s="130"/>
    </row>
    <row r="8" spans="1:8" ht="15" customHeight="1">
      <c r="A8" s="204" t="s">
        <v>259</v>
      </c>
      <c r="B8" s="250" t="s">
        <v>236</v>
      </c>
      <c r="C8" s="291"/>
      <c r="D8" s="219" t="s">
        <v>38</v>
      </c>
      <c r="E8" s="223" t="s">
        <v>267</v>
      </c>
      <c r="F8" s="222">
        <f>B18*Satser!C287</f>
        <v>0</v>
      </c>
      <c r="G8" s="129"/>
      <c r="H8" s="130"/>
    </row>
    <row r="9" spans="1:8" ht="15.75" customHeight="1">
      <c r="A9" s="201" t="s">
        <v>67</v>
      </c>
      <c r="B9" s="200"/>
      <c r="C9" s="200"/>
      <c r="D9" s="219" t="s">
        <v>145</v>
      </c>
      <c r="E9" s="223" t="s">
        <v>268</v>
      </c>
      <c r="F9" s="222">
        <f>B19*Satser!C288</f>
        <v>0</v>
      </c>
      <c r="G9" s="129">
        <v>0.02</v>
      </c>
      <c r="H9" s="130">
        <f>B15*G9</f>
        <v>0</v>
      </c>
    </row>
    <row r="10" spans="1:8" ht="15.75" customHeight="1">
      <c r="A10" s="206" t="s">
        <v>13</v>
      </c>
      <c r="B10" s="265"/>
      <c r="C10" s="292" t="s">
        <v>14</v>
      </c>
      <c r="D10" s="220" t="s">
        <v>62</v>
      </c>
      <c r="E10" s="224" t="s">
        <v>268</v>
      </c>
      <c r="F10" s="225">
        <f>B20*Satser!C289</f>
        <v>0</v>
      </c>
      <c r="G10" s="129">
        <v>0.02</v>
      </c>
      <c r="H10" s="130" t="e">
        <f>#REF!*G10</f>
        <v>#REF!</v>
      </c>
    </row>
    <row r="11" spans="1:8" ht="15.75" customHeight="1">
      <c r="A11" s="206" t="s">
        <v>15</v>
      </c>
      <c r="B11" s="265"/>
      <c r="C11" s="292" t="s">
        <v>14</v>
      </c>
      <c r="D11" s="219" t="s">
        <v>217</v>
      </c>
      <c r="E11" s="223" t="s">
        <v>246</v>
      </c>
      <c r="F11" s="222">
        <f>48.21*E11*B12</f>
        <v>0</v>
      </c>
      <c r="G11" s="129"/>
      <c r="H11" s="130"/>
    </row>
    <row r="12" spans="1:8" ht="15.75" customHeight="1">
      <c r="A12" s="206" t="s">
        <v>140</v>
      </c>
      <c r="B12" s="265"/>
      <c r="C12" s="292" t="s">
        <v>2</v>
      </c>
      <c r="D12" s="219" t="s">
        <v>221</v>
      </c>
      <c r="E12" s="223" t="s">
        <v>247</v>
      </c>
      <c r="F12" s="222">
        <f>47.66*E12*B14</f>
        <v>0</v>
      </c>
      <c r="G12" s="129"/>
      <c r="H12" s="130"/>
    </row>
    <row r="13" spans="1:8" ht="15.75" customHeight="1">
      <c r="A13" s="206" t="s">
        <v>167</v>
      </c>
      <c r="B13" s="265"/>
      <c r="C13" s="292" t="s">
        <v>2</v>
      </c>
      <c r="D13" s="219" t="s">
        <v>222</v>
      </c>
      <c r="E13" s="223" t="s">
        <v>248</v>
      </c>
      <c r="F13" s="222">
        <f>14.56*E13*B16</f>
        <v>0</v>
      </c>
      <c r="G13" s="129">
        <v>0.25</v>
      </c>
      <c r="H13" s="130">
        <f>B16*G13</f>
        <v>0</v>
      </c>
    </row>
    <row r="14" spans="1:8" ht="15.75" customHeight="1">
      <c r="A14" s="206" t="s">
        <v>168</v>
      </c>
      <c r="B14" s="265"/>
      <c r="C14" s="292" t="s">
        <v>2</v>
      </c>
      <c r="D14" s="219" t="s">
        <v>244</v>
      </c>
      <c r="E14" s="223" t="s">
        <v>248</v>
      </c>
      <c r="F14" s="225">
        <f>19.9*E14*B17</f>
        <v>0</v>
      </c>
      <c r="G14" s="135">
        <v>4.5999999999999999E-2</v>
      </c>
      <c r="H14" s="136">
        <f>B20*G14</f>
        <v>0</v>
      </c>
    </row>
    <row r="15" spans="1:8" ht="15.75" customHeight="1">
      <c r="A15" s="206" t="s">
        <v>51</v>
      </c>
      <c r="B15" s="265"/>
      <c r="C15" s="292" t="s">
        <v>2</v>
      </c>
      <c r="D15" s="232" t="s">
        <v>216</v>
      </c>
      <c r="E15" s="235"/>
      <c r="F15" s="236">
        <f>SUM(F5:F14)</f>
        <v>0</v>
      </c>
      <c r="G15" s="126"/>
      <c r="H15" s="137" t="e">
        <f>SUM(H5:H14)</f>
        <v>#REF!</v>
      </c>
    </row>
    <row r="16" spans="1:8" ht="15.75" customHeight="1">
      <c r="A16" s="206" t="s">
        <v>80</v>
      </c>
      <c r="B16" s="265"/>
      <c r="C16" s="292" t="s">
        <v>2</v>
      </c>
      <c r="D16" s="219" t="s">
        <v>257</v>
      </c>
      <c r="E16" s="223"/>
      <c r="F16" s="222">
        <f>0.55*B12*0.3</f>
        <v>0</v>
      </c>
      <c r="G16" s="139" t="s">
        <v>151</v>
      </c>
      <c r="H16" s="130" t="e">
        <f>0*'Ark18'!C20+0*#REF!-#REF!*63+#REF!*0</f>
        <v>#REF!</v>
      </c>
    </row>
    <row r="17" spans="1:12" ht="15.75" customHeight="1">
      <c r="A17" s="206" t="s">
        <v>209</v>
      </c>
      <c r="B17" s="265"/>
      <c r="C17" s="292" t="s">
        <v>2</v>
      </c>
      <c r="D17" s="219" t="s">
        <v>198</v>
      </c>
      <c r="E17" s="223"/>
      <c r="F17" s="222">
        <f>B11*0.1</f>
        <v>0</v>
      </c>
      <c r="G17" s="139"/>
      <c r="H17" s="130"/>
    </row>
    <row r="18" spans="1:12" ht="15.75" customHeight="1">
      <c r="A18" s="206" t="s">
        <v>61</v>
      </c>
      <c r="B18" s="265"/>
      <c r="C18" s="292" t="s">
        <v>2</v>
      </c>
      <c r="D18" s="219" t="s">
        <v>260</v>
      </c>
      <c r="E18" s="223"/>
      <c r="F18" s="222">
        <f>IF(B7= "Ja",-0.22*B16,0)+IF(B8="Ja",-0.2*B17,0)</f>
        <v>0</v>
      </c>
      <c r="G18" s="138">
        <v>7</v>
      </c>
      <c r="H18" s="130">
        <f>('Ark18'!C8+'Ark18'!C9+(B22*0.6)+B23+B24+'Ark18'!C6+'Ark18'!C7)*G18</f>
        <v>0</v>
      </c>
    </row>
    <row r="19" spans="1:12" ht="15.75" customHeight="1">
      <c r="A19" s="206" t="s">
        <v>201</v>
      </c>
      <c r="B19" s="265"/>
      <c r="C19" s="292" t="s">
        <v>54</v>
      </c>
      <c r="D19" s="219" t="s">
        <v>255</v>
      </c>
      <c r="E19" s="226"/>
      <c r="F19" s="222">
        <f>IF(B4="","Sone mangler",Satser!E29)+Satser!I23</f>
        <v>0</v>
      </c>
      <c r="G19" s="138"/>
      <c r="H19" s="130"/>
    </row>
    <row r="20" spans="1:12" ht="15.75" customHeight="1">
      <c r="A20" s="207" t="s">
        <v>202</v>
      </c>
      <c r="B20" s="264"/>
      <c r="C20" s="293" t="s">
        <v>54</v>
      </c>
      <c r="D20" s="219" t="s">
        <v>66</v>
      </c>
      <c r="E20" s="227" t="str">
        <f>IF(Satser!C97&gt;0,"Toppavgrensing",IF(Satser!C98&gt;0,"Toppavgrensing",IF(Satser!C99&gt;0,"Toppavgr.før, ikke nå","")))</f>
        <v/>
      </c>
      <c r="F20" s="222">
        <f>IF(Satser!$C$100=0,Satser!$D$104,Satser!$C$100)+Satser!$D$102+B34*-1000</f>
        <v>0</v>
      </c>
      <c r="G20" s="138"/>
      <c r="H20" s="130" t="e">
        <f>tilbud!E37</f>
        <v>#REF!</v>
      </c>
    </row>
    <row r="21" spans="1:12" ht="15.75" customHeight="1">
      <c r="A21" s="209" t="s">
        <v>49</v>
      </c>
      <c r="B21" s="210"/>
      <c r="C21" s="294"/>
      <c r="D21" s="219" t="s">
        <v>159</v>
      </c>
      <c r="E21" s="228"/>
      <c r="F21" s="222">
        <v>0</v>
      </c>
      <c r="G21" s="141" t="e">
        <f>IF(tilbud!C204&gt;0,"Toppavgrensing",IF(tilbud!C205&gt;0,"Toppavgrensing",IF(tilbud!C206&gt;0,"Toppavgr.før, ikke nå","")))</f>
        <v>#REF!</v>
      </c>
      <c r="H21" s="130" t="e">
        <f>IF(tilbud!$C$207=0,tilbud!$D$210,tilbud!$C$207)</f>
        <v>#REF!</v>
      </c>
    </row>
    <row r="22" spans="1:12" ht="19.5" customHeight="1">
      <c r="A22" s="206" t="s">
        <v>70</v>
      </c>
      <c r="B22" s="266"/>
      <c r="C22" s="292" t="s">
        <v>3</v>
      </c>
      <c r="D22" s="219" t="s">
        <v>243</v>
      </c>
      <c r="E22" s="228"/>
      <c r="F22" s="222">
        <f>-8/436.5*B36</f>
        <v>0</v>
      </c>
      <c r="G22" s="144">
        <v>0.02</v>
      </c>
      <c r="H22" s="145">
        <f>G22*'Ark18'!C22</f>
        <v>0</v>
      </c>
    </row>
    <row r="23" spans="1:12" ht="18" customHeight="1">
      <c r="A23" s="206" t="s">
        <v>71</v>
      </c>
      <c r="B23" s="266"/>
      <c r="C23" s="292" t="s">
        <v>3</v>
      </c>
      <c r="D23" s="219" t="s">
        <v>270</v>
      </c>
      <c r="E23" s="228"/>
      <c r="F23" s="222">
        <f>Satser!C159</f>
        <v>0</v>
      </c>
      <c r="G23" s="147"/>
      <c r="H23" s="146" t="e">
        <f>H92+H15-H22</f>
        <v>#REF!</v>
      </c>
    </row>
    <row r="24" spans="1:12" ht="21" customHeight="1">
      <c r="A24" s="206" t="s">
        <v>256</v>
      </c>
      <c r="B24" s="266"/>
      <c r="C24" s="292" t="s">
        <v>3</v>
      </c>
      <c r="D24" s="282" t="s">
        <v>273</v>
      </c>
      <c r="E24" s="223"/>
      <c r="F24" s="222">
        <v>0</v>
      </c>
      <c r="G24" s="149"/>
      <c r="H24" s="150"/>
      <c r="L24" s="249"/>
    </row>
    <row r="25" spans="1:12" ht="18.75" customHeight="1">
      <c r="A25" s="209" t="s">
        <v>68</v>
      </c>
      <c r="B25" s="211"/>
      <c r="C25" s="295"/>
      <c r="D25" s="232" t="s">
        <v>134</v>
      </c>
      <c r="E25" s="233"/>
      <c r="F25" s="234">
        <f>SUM(F16:F24)</f>
        <v>0</v>
      </c>
      <c r="G25" s="151"/>
      <c r="H25" s="152"/>
    </row>
    <row r="26" spans="1:12" ht="17.25" customHeight="1">
      <c r="A26" s="206" t="s">
        <v>4</v>
      </c>
      <c r="B26" s="265"/>
      <c r="C26" s="292" t="s">
        <v>5</v>
      </c>
      <c r="D26" s="195" t="s">
        <v>238</v>
      </c>
      <c r="E26" s="248" t="s">
        <v>234</v>
      </c>
      <c r="F26" s="196">
        <f>0*'Ark18'!C22</f>
        <v>0</v>
      </c>
      <c r="G26" s="124"/>
      <c r="H26" s="153"/>
      <c r="J26" s="121"/>
      <c r="K26" s="121"/>
      <c r="L26" s="121"/>
    </row>
    <row r="27" spans="1:12" ht="15.75" customHeight="1">
      <c r="A27" s="206" t="s">
        <v>190</v>
      </c>
      <c r="B27" s="265"/>
      <c r="C27" s="292" t="s">
        <v>5</v>
      </c>
      <c r="D27" s="240" t="s">
        <v>274</v>
      </c>
      <c r="E27" s="241"/>
      <c r="F27" s="242">
        <f>F25+F15-F26</f>
        <v>0</v>
      </c>
      <c r="G27" s="124"/>
      <c r="H27" s="153"/>
    </row>
    <row r="28" spans="1:12" ht="18" customHeight="1">
      <c r="A28" s="206" t="s">
        <v>6</v>
      </c>
      <c r="B28" s="265"/>
      <c r="C28" s="292" t="s">
        <v>5</v>
      </c>
      <c r="D28" s="215" t="s">
        <v>210</v>
      </c>
      <c r="E28" s="191"/>
      <c r="F28" s="192"/>
      <c r="G28" s="124"/>
      <c r="H28" s="153"/>
    </row>
    <row r="29" spans="1:12" ht="18" customHeight="1">
      <c r="A29" s="206" t="s">
        <v>65</v>
      </c>
      <c r="B29" s="265"/>
      <c r="C29" s="292" t="s">
        <v>5</v>
      </c>
      <c r="D29" s="216" t="s">
        <v>215</v>
      </c>
      <c r="E29" s="193"/>
      <c r="F29" s="194"/>
      <c r="G29" s="124"/>
      <c r="H29" s="153"/>
    </row>
    <row r="30" spans="1:12" ht="18" customHeight="1">
      <c r="A30" s="206" t="s">
        <v>171</v>
      </c>
      <c r="B30" s="265"/>
      <c r="C30" s="292" t="s">
        <v>5</v>
      </c>
      <c r="D30" s="244" t="s">
        <v>240</v>
      </c>
      <c r="E30" s="229"/>
      <c r="F30" s="230"/>
      <c r="G30" s="124"/>
      <c r="H30" s="153"/>
    </row>
    <row r="31" spans="1:12" ht="18" customHeight="1">
      <c r="A31" s="206" t="s">
        <v>10</v>
      </c>
      <c r="B31" s="265"/>
      <c r="C31" s="292" t="s">
        <v>5</v>
      </c>
      <c r="D31" s="219" t="s">
        <v>258</v>
      </c>
      <c r="E31" s="262">
        <v>2.5000000000000001E-2</v>
      </c>
      <c r="F31" s="243">
        <f>B39*0.025</f>
        <v>0</v>
      </c>
      <c r="G31" s="124"/>
      <c r="H31" s="153"/>
    </row>
    <row r="32" spans="1:12" ht="19.5" customHeight="1">
      <c r="A32" s="206" t="s">
        <v>11</v>
      </c>
      <c r="B32" s="265"/>
      <c r="C32" s="292" t="s">
        <v>5</v>
      </c>
      <c r="D32" s="219" t="s">
        <v>213</v>
      </c>
      <c r="E32" s="262">
        <v>-3.0000000000000001E-3</v>
      </c>
      <c r="F32" s="243">
        <f>B38*-0.003</f>
        <v>0</v>
      </c>
      <c r="G32" s="124"/>
      <c r="H32" s="153"/>
    </row>
    <row r="33" spans="1:8" ht="19.5" customHeight="1">
      <c r="A33" s="206" t="s">
        <v>128</v>
      </c>
      <c r="B33" s="265"/>
      <c r="C33" s="292" t="s">
        <v>5</v>
      </c>
      <c r="D33" s="232" t="s">
        <v>214</v>
      </c>
      <c r="E33" s="233"/>
      <c r="F33" s="237">
        <f>F31+F32</f>
        <v>0</v>
      </c>
      <c r="G33" s="124"/>
      <c r="H33" s="153"/>
    </row>
    <row r="34" spans="1:8" ht="19.5" customHeight="1">
      <c r="A34" s="206" t="s">
        <v>262</v>
      </c>
      <c r="B34" s="265"/>
      <c r="C34" s="292" t="s">
        <v>5</v>
      </c>
      <c r="D34" s="238" t="s">
        <v>249</v>
      </c>
      <c r="E34" s="231"/>
      <c r="F34" s="239">
        <f>F27-F33</f>
        <v>0</v>
      </c>
      <c r="G34" s="124"/>
      <c r="H34" s="153"/>
    </row>
    <row r="35" spans="1:8" ht="19.5" customHeight="1">
      <c r="A35" s="206" t="s">
        <v>263</v>
      </c>
      <c r="B35" s="265"/>
      <c r="C35" s="292" t="s">
        <v>5</v>
      </c>
      <c r="D35" s="214" t="s">
        <v>64</v>
      </c>
      <c r="E35" s="124"/>
      <c r="F35" s="176"/>
      <c r="G35" s="124"/>
      <c r="H35" s="153"/>
    </row>
    <row r="36" spans="1:8" ht="15.75" customHeight="1">
      <c r="A36" s="277" t="s">
        <v>242</v>
      </c>
      <c r="B36" s="278"/>
      <c r="C36" s="296" t="s">
        <v>208</v>
      </c>
      <c r="D36" s="214" t="s">
        <v>239</v>
      </c>
      <c r="E36" s="148"/>
      <c r="F36" s="164"/>
      <c r="G36" s="139"/>
      <c r="H36" s="130"/>
    </row>
    <row r="37" spans="1:8" ht="15.75" customHeight="1">
      <c r="A37" s="269" t="s">
        <v>241</v>
      </c>
      <c r="B37" s="272"/>
      <c r="C37" s="289"/>
      <c r="D37" s="214" t="s">
        <v>275</v>
      </c>
      <c r="E37" s="148"/>
      <c r="F37" s="164"/>
      <c r="G37" s="124"/>
      <c r="H37" s="153"/>
    </row>
    <row r="38" spans="1:8" ht="15.75" customHeight="1">
      <c r="A38" s="270" t="s">
        <v>211</v>
      </c>
      <c r="B38" s="212"/>
      <c r="C38" s="289" t="s">
        <v>208</v>
      </c>
      <c r="D38" s="214" t="s">
        <v>261</v>
      </c>
      <c r="E38" s="148"/>
      <c r="F38" s="164"/>
      <c r="G38" s="124"/>
      <c r="H38" s="153"/>
    </row>
    <row r="39" spans="1:8" ht="18.75" customHeight="1" thickBot="1">
      <c r="A39" s="271" t="s">
        <v>212</v>
      </c>
      <c r="B39" s="268"/>
      <c r="C39" s="297" t="s">
        <v>208</v>
      </c>
      <c r="D39" s="279" t="s">
        <v>276</v>
      </c>
      <c r="E39" s="155"/>
      <c r="F39" s="298"/>
      <c r="G39" s="124"/>
      <c r="H39" s="153"/>
    </row>
    <row r="40" spans="1:8" ht="15.75" customHeight="1" thickBot="1">
      <c r="A40" s="274"/>
      <c r="B40" s="274"/>
      <c r="C40" s="274"/>
      <c r="G40" s="155"/>
      <c r="H40" s="156"/>
    </row>
    <row r="41" spans="1:8" ht="15.75" customHeight="1">
      <c r="A41" s="274"/>
      <c r="B41" s="274"/>
      <c r="C41" s="274"/>
    </row>
    <row r="42" spans="1:8">
      <c r="A42" s="274"/>
      <c r="B42" s="274"/>
      <c r="C42" s="274"/>
    </row>
    <row r="43" spans="1:8">
      <c r="D43" s="166"/>
      <c r="E43" s="166"/>
      <c r="F43" s="166"/>
    </row>
    <row r="44" spans="1:8">
      <c r="D44" s="166"/>
      <c r="E44" s="166"/>
      <c r="F44" s="166"/>
    </row>
    <row r="45" spans="1:8">
      <c r="D45" s="166"/>
      <c r="E45" s="166"/>
      <c r="F45" s="166"/>
    </row>
    <row r="46" spans="1:8">
      <c r="D46" s="166"/>
      <c r="E46" s="166"/>
      <c r="F46" s="166"/>
    </row>
    <row r="47" spans="1:8">
      <c r="D47" s="166"/>
      <c r="E47" s="166"/>
      <c r="F47" s="166"/>
    </row>
    <row r="48" spans="1:8">
      <c r="D48" s="166"/>
      <c r="E48" s="166"/>
      <c r="F48" s="166"/>
    </row>
    <row r="49" spans="4:6">
      <c r="D49" s="166"/>
      <c r="E49" s="166"/>
      <c r="F49" s="166"/>
    </row>
    <row r="50" spans="4:6">
      <c r="D50" s="166"/>
      <c r="E50" s="166"/>
      <c r="F50" s="166"/>
    </row>
    <row r="51" spans="4:6">
      <c r="D51" s="166"/>
      <c r="E51" s="166"/>
      <c r="F51" s="166"/>
    </row>
    <row r="69" spans="6:6" s="177" customFormat="1">
      <c r="F69" s="178"/>
    </row>
    <row r="70" spans="6:6" s="177" customFormat="1">
      <c r="F70" s="178"/>
    </row>
    <row r="86" spans="4:8">
      <c r="D86" s="183"/>
    </row>
    <row r="89" spans="4:8" ht="17.25" customHeight="1">
      <c r="G89" s="151"/>
      <c r="H89" s="152"/>
    </row>
    <row r="90" spans="4:8" ht="17.25" customHeight="1">
      <c r="G90" s="154"/>
      <c r="H90" s="152"/>
    </row>
    <row r="91" spans="4:8" ht="15.75" customHeight="1">
      <c r="G91" s="139"/>
      <c r="H91" s="130">
        <v>500</v>
      </c>
    </row>
    <row r="92" spans="4:8" ht="15.75" customHeight="1">
      <c r="G92" s="143"/>
      <c r="H92" s="142" t="e">
        <f>SUM(H16:H91)</f>
        <v>#REF!</v>
      </c>
    </row>
    <row r="93" spans="4:8" ht="17.25" customHeight="1">
      <c r="G93" s="124"/>
      <c r="H93" s="153"/>
    </row>
    <row r="99" spans="1:8" ht="17.25" customHeight="1">
      <c r="G99" s="124"/>
      <c r="H99" s="153"/>
    </row>
    <row r="100" spans="1:8" ht="15.75" customHeight="1">
      <c r="G100" s="124"/>
      <c r="H100" s="153"/>
    </row>
    <row r="101" spans="1:8" ht="15.75" customHeight="1">
      <c r="G101" s="124"/>
      <c r="H101" s="153"/>
    </row>
    <row r="102" spans="1:8" ht="15.75" customHeight="1">
      <c r="G102" s="124"/>
      <c r="H102" s="153"/>
    </row>
    <row r="103" spans="1:8" ht="15.75" customHeight="1">
      <c r="G103" s="139" t="s">
        <v>166</v>
      </c>
      <c r="H103" s="130" t="e">
        <f>#REF!*0+#REF!*0</f>
        <v>#REF!</v>
      </c>
    </row>
    <row r="104" spans="1:8" ht="15.75" customHeight="1">
      <c r="G104" s="124"/>
      <c r="H104" s="153"/>
    </row>
    <row r="105" spans="1:8" ht="15.75" customHeight="1">
      <c r="G105" s="124"/>
      <c r="H105" s="153"/>
    </row>
    <row r="106" spans="1:8" ht="12.75" customHeight="1">
      <c r="G106" s="129">
        <v>0</v>
      </c>
      <c r="H106" s="130" t="e">
        <f>#REF!*G106</f>
        <v>#REF!</v>
      </c>
    </row>
    <row r="107" spans="1:8" ht="16.5" customHeight="1">
      <c r="G107" s="129">
        <v>-0.8</v>
      </c>
      <c r="H107" s="130">
        <f>B13*G107</f>
        <v>0</v>
      </c>
    </row>
    <row r="108" spans="1:8" ht="12.75" customHeight="1">
      <c r="G108" s="129">
        <v>3</v>
      </c>
      <c r="H108" s="130">
        <f>B14*G108</f>
        <v>0</v>
      </c>
    </row>
    <row r="112" spans="1:8">
      <c r="A112" s="274"/>
      <c r="B112" s="274"/>
      <c r="C112" s="274"/>
    </row>
    <row r="113" spans="1:3">
      <c r="A113" s="274"/>
      <c r="B113" s="274"/>
      <c r="C113" s="274"/>
    </row>
    <row r="114" spans="1:3">
      <c r="A114" s="274"/>
      <c r="B114" s="274"/>
      <c r="C114" s="274"/>
    </row>
    <row r="115" spans="1:3">
      <c r="A115" s="274"/>
      <c r="B115" s="274"/>
      <c r="C115" s="274"/>
    </row>
    <row r="116" spans="1:3">
      <c r="A116" s="274"/>
      <c r="B116" s="274"/>
      <c r="C116" s="274"/>
    </row>
    <row r="117" spans="1:3">
      <c r="A117" s="274"/>
      <c r="B117" s="274"/>
      <c r="C117" s="274"/>
    </row>
    <row r="118" spans="1:3">
      <c r="A118" s="274"/>
      <c r="B118" s="274"/>
      <c r="C118" s="274"/>
    </row>
    <row r="119" spans="1:3">
      <c r="A119" s="274"/>
      <c r="B119" s="274"/>
      <c r="C119" s="274"/>
    </row>
    <row r="120" spans="1:3">
      <c r="A120" s="274"/>
      <c r="B120" s="274"/>
      <c r="C120" s="274"/>
    </row>
    <row r="121" spans="1:3">
      <c r="A121" s="274"/>
      <c r="B121" s="274"/>
      <c r="C121" s="274"/>
    </row>
    <row r="122" spans="1:3">
      <c r="A122" s="274"/>
      <c r="B122" s="274"/>
      <c r="C122" s="274"/>
    </row>
    <row r="123" spans="1:3">
      <c r="A123" s="274"/>
      <c r="B123" s="274"/>
      <c r="C123" s="274"/>
    </row>
    <row r="124" spans="1:3">
      <c r="A124" s="274"/>
      <c r="B124" s="274"/>
      <c r="C124" s="274"/>
    </row>
    <row r="125" spans="1:3">
      <c r="A125" s="274"/>
      <c r="B125" s="274"/>
      <c r="C125" s="274"/>
    </row>
    <row r="126" spans="1:3">
      <c r="A126" s="274"/>
      <c r="B126" s="274"/>
      <c r="C126" s="274"/>
    </row>
    <row r="127" spans="1:3">
      <c r="A127" s="274"/>
      <c r="B127" s="274"/>
      <c r="C127" s="274"/>
    </row>
    <row r="128" spans="1:3">
      <c r="A128" s="274"/>
      <c r="B128" s="274"/>
      <c r="C128" s="274"/>
    </row>
    <row r="129" spans="1:3">
      <c r="A129" s="274"/>
      <c r="B129" s="274"/>
      <c r="C129" s="274"/>
    </row>
    <row r="130" spans="1:3">
      <c r="A130" s="274"/>
      <c r="B130" s="274"/>
      <c r="C130" s="274"/>
    </row>
    <row r="131" spans="1:3">
      <c r="A131" s="274"/>
      <c r="B131" s="274"/>
      <c r="C131" s="274"/>
    </row>
    <row r="132" spans="1:3">
      <c r="A132" s="274"/>
      <c r="B132" s="274"/>
      <c r="C132" s="274"/>
    </row>
    <row r="133" spans="1:3">
      <c r="A133" s="274"/>
      <c r="B133" s="274"/>
      <c r="C133" s="274"/>
    </row>
    <row r="134" spans="1:3">
      <c r="A134" s="274"/>
      <c r="B134" s="274"/>
      <c r="C134" s="274"/>
    </row>
    <row r="135" spans="1:3">
      <c r="A135" s="274"/>
      <c r="B135" s="274"/>
      <c r="C135" s="274"/>
    </row>
    <row r="136" spans="1:3">
      <c r="A136" s="274"/>
      <c r="B136" s="274"/>
      <c r="C136" s="274"/>
    </row>
    <row r="137" spans="1:3">
      <c r="A137" s="274"/>
      <c r="B137" s="274"/>
      <c r="C137" s="274"/>
    </row>
    <row r="138" spans="1:3">
      <c r="A138" s="274"/>
      <c r="B138" s="274"/>
      <c r="C138" s="274"/>
    </row>
    <row r="139" spans="1:3">
      <c r="A139" s="274"/>
      <c r="B139" s="274"/>
      <c r="C139" s="274"/>
    </row>
    <row r="140" spans="1:3">
      <c r="A140" s="274"/>
      <c r="B140" s="274"/>
      <c r="C140" s="274"/>
    </row>
    <row r="141" spans="1:3">
      <c r="A141" s="274"/>
      <c r="B141" s="274"/>
      <c r="C141" s="274"/>
    </row>
    <row r="142" spans="1:3">
      <c r="A142" s="274"/>
      <c r="B142" s="274"/>
      <c r="C142" s="274"/>
    </row>
    <row r="143" spans="1:3">
      <c r="A143" s="274"/>
      <c r="B143" s="274"/>
      <c r="C143" s="274"/>
    </row>
    <row r="144" spans="1:3">
      <c r="A144" s="274"/>
      <c r="B144" s="274"/>
      <c r="C144" s="274"/>
    </row>
    <row r="145" spans="1:3">
      <c r="A145" s="274"/>
      <c r="B145" s="274"/>
      <c r="C145" s="274"/>
    </row>
    <row r="146" spans="1:3">
      <c r="A146" s="274"/>
      <c r="B146" s="274"/>
      <c r="C146" s="274"/>
    </row>
    <row r="147" spans="1:3">
      <c r="A147" s="274"/>
      <c r="B147" s="274"/>
      <c r="C147" s="274"/>
    </row>
    <row r="148" spans="1:3">
      <c r="A148" s="274"/>
      <c r="B148" s="274"/>
      <c r="C148" s="274"/>
    </row>
    <row r="149" spans="1:3">
      <c r="A149" s="274"/>
      <c r="B149" s="274"/>
      <c r="C149" s="274"/>
    </row>
    <row r="150" spans="1:3">
      <c r="A150" s="274"/>
      <c r="B150" s="274"/>
      <c r="C150" s="274"/>
    </row>
    <row r="151" spans="1:3">
      <c r="A151" s="274"/>
      <c r="B151" s="274"/>
      <c r="C151" s="274"/>
    </row>
    <row r="152" spans="1:3">
      <c r="A152" s="274"/>
      <c r="B152" s="274"/>
      <c r="C152" s="274"/>
    </row>
    <row r="153" spans="1:3">
      <c r="A153" s="274"/>
      <c r="B153" s="274"/>
      <c r="C153" s="274"/>
    </row>
    <row r="154" spans="1:3">
      <c r="A154" s="274"/>
      <c r="B154" s="274"/>
      <c r="C154" s="274"/>
    </row>
    <row r="155" spans="1:3">
      <c r="A155" s="274"/>
      <c r="B155" s="274"/>
      <c r="C155" s="274"/>
    </row>
    <row r="156" spans="1:3">
      <c r="A156" s="274"/>
      <c r="B156" s="274"/>
      <c r="C156" s="274"/>
    </row>
    <row r="157" spans="1:3">
      <c r="A157" s="274"/>
      <c r="B157" s="274"/>
      <c r="C157" s="274"/>
    </row>
    <row r="158" spans="1:3">
      <c r="A158" s="274"/>
      <c r="B158" s="274"/>
      <c r="C158" s="274"/>
    </row>
    <row r="159" spans="1:3">
      <c r="A159" s="274"/>
      <c r="B159" s="274"/>
      <c r="C159" s="274"/>
    </row>
    <row r="160" spans="1:3">
      <c r="A160" s="274"/>
      <c r="B160" s="274"/>
      <c r="C160" s="274"/>
    </row>
    <row r="161" spans="1:3">
      <c r="A161" s="274"/>
      <c r="B161" s="274"/>
      <c r="C161" s="274"/>
    </row>
    <row r="162" spans="1:3">
      <c r="A162" s="274"/>
      <c r="B162" s="274"/>
      <c r="C162" s="274"/>
    </row>
    <row r="163" spans="1:3">
      <c r="A163" s="274"/>
      <c r="B163" s="274"/>
      <c r="C163" s="274"/>
    </row>
    <row r="164" spans="1:3">
      <c r="A164" s="274"/>
      <c r="B164" s="274"/>
      <c r="C164" s="274"/>
    </row>
    <row r="165" spans="1:3">
      <c r="A165" s="274"/>
      <c r="B165" s="274"/>
      <c r="C165" s="274"/>
    </row>
    <row r="166" spans="1:3">
      <c r="A166" s="274"/>
      <c r="B166" s="274"/>
      <c r="C166" s="274"/>
    </row>
    <row r="167" spans="1:3">
      <c r="A167" s="274"/>
      <c r="B167" s="274"/>
      <c r="C167" s="274"/>
    </row>
    <row r="168" spans="1:3">
      <c r="A168" s="274"/>
      <c r="B168" s="274"/>
      <c r="C168" s="274"/>
    </row>
    <row r="169" spans="1:3">
      <c r="A169" s="274"/>
      <c r="B169" s="274"/>
      <c r="C169" s="274"/>
    </row>
    <row r="170" spans="1:3">
      <c r="A170" s="274"/>
      <c r="B170" s="274"/>
      <c r="C170" s="274"/>
    </row>
    <row r="171" spans="1:3">
      <c r="A171" s="274"/>
      <c r="B171" s="274"/>
      <c r="C171" s="274"/>
    </row>
    <row r="172" spans="1:3">
      <c r="A172" s="274"/>
      <c r="B172" s="274"/>
      <c r="C172" s="274"/>
    </row>
    <row r="173" spans="1:3">
      <c r="A173" s="274"/>
      <c r="B173" s="274"/>
      <c r="C173" s="274"/>
    </row>
    <row r="174" spans="1:3">
      <c r="A174" s="274"/>
      <c r="B174" s="274"/>
      <c r="C174" s="274"/>
    </row>
    <row r="175" spans="1:3">
      <c r="A175" s="274"/>
      <c r="B175" s="274"/>
      <c r="C175" s="274"/>
    </row>
    <row r="176" spans="1:3">
      <c r="A176" s="274"/>
      <c r="B176" s="274"/>
      <c r="C176" s="274"/>
    </row>
    <row r="177" spans="1:3">
      <c r="A177" s="274"/>
      <c r="B177" s="274"/>
      <c r="C177" s="274"/>
    </row>
    <row r="178" spans="1:3">
      <c r="A178" s="274"/>
      <c r="B178" s="274"/>
      <c r="C178" s="274"/>
    </row>
    <row r="179" spans="1:3">
      <c r="A179" s="274"/>
      <c r="B179" s="274"/>
      <c r="C179" s="274"/>
    </row>
    <row r="180" spans="1:3">
      <c r="A180" s="274"/>
      <c r="B180" s="274"/>
      <c r="C180" s="274"/>
    </row>
    <row r="181" spans="1:3">
      <c r="A181" s="274"/>
      <c r="B181" s="274"/>
      <c r="C181" s="274"/>
    </row>
    <row r="182" spans="1:3">
      <c r="A182" s="274"/>
      <c r="B182" s="274"/>
      <c r="C182" s="274"/>
    </row>
    <row r="183" spans="1:3">
      <c r="A183" s="274"/>
      <c r="B183" s="274"/>
      <c r="C183" s="274"/>
    </row>
    <row r="184" spans="1:3">
      <c r="A184" s="274"/>
      <c r="B184" s="274"/>
      <c r="C184" s="274"/>
    </row>
    <row r="185" spans="1:3">
      <c r="A185" s="274"/>
      <c r="B185" s="274"/>
      <c r="C185" s="274"/>
    </row>
    <row r="186" spans="1:3">
      <c r="A186" s="274"/>
      <c r="B186" s="274"/>
      <c r="C186" s="274"/>
    </row>
    <row r="187" spans="1:3">
      <c r="A187" s="274"/>
      <c r="B187" s="274"/>
      <c r="C187" s="274"/>
    </row>
    <row r="188" spans="1:3">
      <c r="A188" s="274"/>
      <c r="B188" s="274"/>
      <c r="C188" s="274"/>
    </row>
    <row r="189" spans="1:3">
      <c r="A189" s="274"/>
      <c r="B189" s="274"/>
      <c r="C189" s="274"/>
    </row>
    <row r="190" spans="1:3">
      <c r="A190" s="274"/>
      <c r="B190" s="274"/>
      <c r="C190" s="274"/>
    </row>
    <row r="191" spans="1:3">
      <c r="A191" s="274"/>
      <c r="B191" s="274"/>
      <c r="C191" s="274"/>
    </row>
    <row r="192" spans="1:3">
      <c r="A192" s="274"/>
      <c r="B192" s="274"/>
      <c r="C192" s="274"/>
    </row>
    <row r="193" spans="1:3">
      <c r="A193" s="274"/>
      <c r="B193" s="274"/>
      <c r="C193" s="274"/>
    </row>
    <row r="194" spans="1:3">
      <c r="A194" s="274"/>
      <c r="B194" s="274"/>
      <c r="C194" s="274"/>
    </row>
    <row r="195" spans="1:3">
      <c r="A195" s="274"/>
      <c r="B195" s="274"/>
      <c r="C195" s="274"/>
    </row>
    <row r="196" spans="1:3">
      <c r="A196" s="274"/>
      <c r="B196" s="274"/>
      <c r="C196" s="274"/>
    </row>
    <row r="197" spans="1:3">
      <c r="A197" s="274"/>
      <c r="B197" s="274"/>
      <c r="C197" s="274"/>
    </row>
    <row r="198" spans="1:3">
      <c r="A198" s="274"/>
      <c r="B198" s="274"/>
      <c r="C198" s="274"/>
    </row>
    <row r="199" spans="1:3">
      <c r="A199" s="274"/>
      <c r="B199" s="274"/>
      <c r="C199" s="274"/>
    </row>
    <row r="200" spans="1:3">
      <c r="A200" s="274"/>
      <c r="B200" s="274"/>
      <c r="C200" s="274"/>
    </row>
    <row r="201" spans="1:3">
      <c r="A201" s="274"/>
      <c r="B201" s="274"/>
      <c r="C201" s="274"/>
    </row>
    <row r="202" spans="1:3">
      <c r="A202" s="274"/>
      <c r="B202" s="274"/>
      <c r="C202" s="274"/>
    </row>
    <row r="203" spans="1:3">
      <c r="A203" s="274"/>
      <c r="B203" s="274"/>
      <c r="C203" s="274"/>
    </row>
    <row r="204" spans="1:3">
      <c r="A204" s="274"/>
      <c r="B204" s="274"/>
      <c r="C204" s="274"/>
    </row>
    <row r="205" spans="1:3">
      <c r="A205" s="274"/>
      <c r="B205" s="274"/>
      <c r="C205" s="274"/>
    </row>
    <row r="206" spans="1:3">
      <c r="A206" s="274"/>
      <c r="B206" s="274"/>
      <c r="C206" s="274"/>
    </row>
    <row r="207" spans="1:3">
      <c r="A207" s="274"/>
      <c r="B207" s="274"/>
      <c r="C207" s="274"/>
    </row>
    <row r="208" spans="1:3">
      <c r="A208" s="274"/>
      <c r="B208" s="274"/>
      <c r="C208" s="274"/>
    </row>
    <row r="209" spans="1:3">
      <c r="A209" s="274"/>
      <c r="B209" s="274"/>
      <c r="C209" s="274"/>
    </row>
    <row r="210" spans="1:3">
      <c r="A210" s="274"/>
      <c r="B210" s="274"/>
      <c r="C210" s="274"/>
    </row>
    <row r="211" spans="1:3">
      <c r="A211" s="274"/>
      <c r="B211" s="274"/>
      <c r="C211" s="274"/>
    </row>
    <row r="212" spans="1:3">
      <c r="A212" s="274"/>
      <c r="B212" s="274"/>
      <c r="C212" s="274"/>
    </row>
    <row r="213" spans="1:3">
      <c r="A213" s="274"/>
      <c r="B213" s="274"/>
      <c r="C213" s="274"/>
    </row>
    <row r="214" spans="1:3">
      <c r="A214" s="274"/>
      <c r="B214" s="274"/>
      <c r="C214" s="274"/>
    </row>
    <row r="215" spans="1:3">
      <c r="A215" s="274"/>
      <c r="B215" s="274"/>
      <c r="C215" s="274"/>
    </row>
    <row r="216" spans="1:3">
      <c r="A216" s="274"/>
      <c r="B216" s="274"/>
      <c r="C216" s="274"/>
    </row>
    <row r="217" spans="1:3">
      <c r="A217" s="274"/>
      <c r="B217" s="274"/>
      <c r="C217" s="274"/>
    </row>
    <row r="218" spans="1:3">
      <c r="A218" s="274"/>
      <c r="B218" s="274"/>
      <c r="C218" s="274"/>
    </row>
    <row r="219" spans="1:3">
      <c r="A219" s="274"/>
      <c r="B219" s="274"/>
      <c r="C219" s="274"/>
    </row>
    <row r="220" spans="1:3">
      <c r="A220" s="274"/>
      <c r="B220" s="274"/>
      <c r="C220" s="274"/>
    </row>
    <row r="221" spans="1:3">
      <c r="A221" s="274"/>
      <c r="B221" s="274"/>
      <c r="C221" s="274"/>
    </row>
    <row r="222" spans="1:3">
      <c r="A222" s="274"/>
      <c r="B222" s="274"/>
      <c r="C222" s="274"/>
    </row>
    <row r="223" spans="1:3">
      <c r="A223" s="274"/>
      <c r="B223" s="274"/>
      <c r="C223" s="274"/>
    </row>
    <row r="224" spans="1:3">
      <c r="A224" s="274"/>
      <c r="B224" s="274"/>
      <c r="C224" s="274"/>
    </row>
    <row r="225" spans="1:3">
      <c r="A225" s="274"/>
      <c r="B225" s="274"/>
      <c r="C225" s="274"/>
    </row>
    <row r="226" spans="1:3">
      <c r="A226" s="274"/>
      <c r="B226" s="274"/>
      <c r="C226" s="274"/>
    </row>
    <row r="227" spans="1:3">
      <c r="A227" s="274"/>
      <c r="B227" s="274"/>
      <c r="C227" s="274"/>
    </row>
    <row r="228" spans="1:3">
      <c r="A228" s="274"/>
      <c r="B228" s="274"/>
      <c r="C228" s="274"/>
    </row>
    <row r="229" spans="1:3">
      <c r="A229" s="274"/>
      <c r="B229" s="274"/>
      <c r="C229" s="274"/>
    </row>
    <row r="230" spans="1:3">
      <c r="A230" s="274"/>
      <c r="B230" s="274"/>
      <c r="C230" s="274"/>
    </row>
    <row r="231" spans="1:3">
      <c r="A231" s="274"/>
      <c r="B231" s="274"/>
      <c r="C231" s="274"/>
    </row>
    <row r="232" spans="1:3">
      <c r="A232" s="274"/>
      <c r="B232" s="274"/>
      <c r="C232" s="274"/>
    </row>
    <row r="233" spans="1:3">
      <c r="A233" s="274"/>
      <c r="B233" s="274"/>
      <c r="C233" s="274"/>
    </row>
    <row r="234" spans="1:3">
      <c r="A234" s="274"/>
      <c r="B234" s="274"/>
      <c r="C234" s="274"/>
    </row>
    <row r="235" spans="1:3">
      <c r="A235" s="274"/>
      <c r="B235" s="274"/>
      <c r="C235" s="274"/>
    </row>
    <row r="236" spans="1:3">
      <c r="A236" s="274"/>
      <c r="B236" s="274"/>
      <c r="C236" s="274"/>
    </row>
    <row r="237" spans="1:3">
      <c r="A237" s="274"/>
      <c r="B237" s="274"/>
      <c r="C237" s="274"/>
    </row>
    <row r="238" spans="1:3">
      <c r="A238" s="274"/>
      <c r="B238" s="274"/>
      <c r="C238" s="274"/>
    </row>
    <row r="239" spans="1:3">
      <c r="A239" s="274"/>
      <c r="B239" s="274"/>
      <c r="C239" s="274"/>
    </row>
    <row r="240" spans="1:3">
      <c r="A240" s="274"/>
      <c r="B240" s="274"/>
      <c r="C240" s="274"/>
    </row>
    <row r="241" spans="1:3">
      <c r="A241" s="274"/>
      <c r="B241" s="274"/>
      <c r="C241" s="274"/>
    </row>
    <row r="242" spans="1:3">
      <c r="A242" s="274"/>
      <c r="B242" s="274"/>
      <c r="C242" s="274"/>
    </row>
    <row r="243" spans="1:3">
      <c r="A243" s="274"/>
      <c r="B243" s="274"/>
      <c r="C243" s="274"/>
    </row>
    <row r="244" spans="1:3">
      <c r="A244" s="274"/>
      <c r="B244" s="274"/>
      <c r="C244" s="274"/>
    </row>
    <row r="245" spans="1:3">
      <c r="A245" s="274"/>
      <c r="B245" s="274"/>
      <c r="C245" s="274"/>
    </row>
    <row r="246" spans="1:3">
      <c r="A246" s="274"/>
      <c r="B246" s="274"/>
      <c r="C246" s="274"/>
    </row>
    <row r="247" spans="1:3">
      <c r="A247" s="274"/>
      <c r="B247" s="274"/>
      <c r="C247" s="274"/>
    </row>
    <row r="248" spans="1:3">
      <c r="A248" s="274"/>
      <c r="B248" s="274"/>
      <c r="C248" s="274"/>
    </row>
    <row r="249" spans="1:3">
      <c r="A249" s="274"/>
      <c r="B249" s="274"/>
      <c r="C249" s="274"/>
    </row>
    <row r="250" spans="1:3">
      <c r="A250" s="274"/>
      <c r="B250" s="274"/>
      <c r="C250" s="274"/>
    </row>
    <row r="251" spans="1:3">
      <c r="A251" s="274"/>
      <c r="B251" s="274"/>
      <c r="C251" s="274"/>
    </row>
    <row r="252" spans="1:3">
      <c r="A252" s="274"/>
      <c r="B252" s="274"/>
      <c r="C252" s="274"/>
    </row>
    <row r="253" spans="1:3">
      <c r="A253" s="274"/>
      <c r="B253" s="274"/>
      <c r="C253" s="274"/>
    </row>
    <row r="254" spans="1:3">
      <c r="A254" s="274"/>
      <c r="B254" s="274"/>
      <c r="C254" s="274"/>
    </row>
    <row r="255" spans="1:3">
      <c r="A255" s="274"/>
      <c r="B255" s="274"/>
      <c r="C255" s="274"/>
    </row>
    <row r="256" spans="1:3">
      <c r="A256" s="274"/>
      <c r="B256" s="274"/>
      <c r="C256" s="274"/>
    </row>
    <row r="257" spans="1:3">
      <c r="A257" s="274"/>
      <c r="B257" s="274"/>
      <c r="C257" s="274"/>
    </row>
    <row r="258" spans="1:3">
      <c r="A258" s="274"/>
      <c r="B258" s="274"/>
      <c r="C258" s="274"/>
    </row>
    <row r="259" spans="1:3">
      <c r="A259" s="274"/>
      <c r="B259" s="274"/>
      <c r="C259" s="274"/>
    </row>
    <row r="260" spans="1:3">
      <c r="A260" s="274"/>
      <c r="B260" s="274"/>
      <c r="C260" s="274"/>
    </row>
    <row r="261" spans="1:3">
      <c r="A261" s="274"/>
      <c r="B261" s="274"/>
      <c r="C261" s="274"/>
    </row>
    <row r="262" spans="1:3">
      <c r="A262" s="274"/>
      <c r="B262" s="274"/>
      <c r="C262" s="274"/>
    </row>
    <row r="263" spans="1:3">
      <c r="A263" s="274"/>
      <c r="B263" s="274"/>
      <c r="C263" s="274"/>
    </row>
    <row r="264" spans="1:3">
      <c r="A264" s="274"/>
      <c r="B264" s="274"/>
      <c r="C264" s="274"/>
    </row>
    <row r="265" spans="1:3">
      <c r="A265" s="274"/>
      <c r="B265" s="274"/>
      <c r="C265" s="274"/>
    </row>
    <row r="266" spans="1:3">
      <c r="A266" s="274"/>
      <c r="B266" s="274"/>
      <c r="C266" s="274"/>
    </row>
    <row r="267" spans="1:3">
      <c r="A267" s="274"/>
      <c r="B267" s="274"/>
      <c r="C267" s="274"/>
    </row>
    <row r="268" spans="1:3">
      <c r="A268" s="274"/>
      <c r="B268" s="274"/>
      <c r="C268" s="274"/>
    </row>
    <row r="269" spans="1:3">
      <c r="A269" s="274"/>
      <c r="B269" s="274"/>
      <c r="C269" s="274"/>
    </row>
    <row r="270" spans="1:3">
      <c r="A270" s="274"/>
      <c r="B270" s="274"/>
      <c r="C270" s="274"/>
    </row>
    <row r="271" spans="1:3">
      <c r="A271" s="274"/>
      <c r="B271" s="274"/>
      <c r="C271" s="274"/>
    </row>
    <row r="272" spans="1:3">
      <c r="A272" s="274"/>
      <c r="B272" s="274"/>
      <c r="C272" s="274"/>
    </row>
    <row r="273" spans="1:3">
      <c r="A273" s="274"/>
      <c r="B273" s="274"/>
      <c r="C273" s="274"/>
    </row>
    <row r="274" spans="1:3">
      <c r="A274" s="274"/>
      <c r="B274" s="274"/>
      <c r="C274" s="274"/>
    </row>
    <row r="275" spans="1:3">
      <c r="A275" s="274"/>
      <c r="B275" s="274"/>
      <c r="C275" s="274"/>
    </row>
    <row r="276" spans="1:3">
      <c r="A276" s="274"/>
      <c r="B276" s="274"/>
      <c r="C276" s="274"/>
    </row>
    <row r="277" spans="1:3">
      <c r="A277" s="274"/>
      <c r="B277" s="274"/>
      <c r="C277" s="274"/>
    </row>
    <row r="278" spans="1:3">
      <c r="A278" s="274"/>
      <c r="B278" s="274"/>
      <c r="C278" s="274"/>
    </row>
    <row r="279" spans="1:3">
      <c r="A279" s="274"/>
      <c r="B279" s="274"/>
      <c r="C279" s="274"/>
    </row>
    <row r="280" spans="1:3">
      <c r="A280" s="274"/>
      <c r="B280" s="274"/>
      <c r="C280" s="274"/>
    </row>
    <row r="281" spans="1:3">
      <c r="A281" s="274"/>
      <c r="B281" s="274"/>
      <c r="C281" s="274"/>
    </row>
    <row r="282" spans="1:3">
      <c r="A282" s="274"/>
      <c r="B282" s="274"/>
      <c r="C282" s="274"/>
    </row>
    <row r="283" spans="1:3">
      <c r="A283" s="274"/>
      <c r="B283" s="274"/>
      <c r="C283" s="274"/>
    </row>
    <row r="284" spans="1:3">
      <c r="A284" s="274"/>
      <c r="B284" s="274"/>
      <c r="C284" s="274"/>
    </row>
    <row r="285" spans="1:3">
      <c r="A285" s="274"/>
      <c r="B285" s="274"/>
      <c r="C285" s="274"/>
    </row>
    <row r="286" spans="1:3">
      <c r="A286" s="274"/>
      <c r="B286" s="274"/>
      <c r="C286" s="274"/>
    </row>
    <row r="287" spans="1:3">
      <c r="A287" s="274"/>
      <c r="B287" s="274"/>
      <c r="C287" s="274"/>
    </row>
    <row r="288" spans="1:3">
      <c r="A288" s="274"/>
      <c r="B288" s="274"/>
      <c r="C288" s="274"/>
    </row>
    <row r="289" spans="1:3">
      <c r="A289" s="274"/>
      <c r="B289" s="274"/>
      <c r="C289" s="274"/>
    </row>
    <row r="290" spans="1:3">
      <c r="A290" s="274"/>
      <c r="B290" s="274"/>
      <c r="C290" s="274"/>
    </row>
    <row r="291" spans="1:3">
      <c r="A291" s="274"/>
      <c r="B291" s="274"/>
      <c r="C291" s="274"/>
    </row>
    <row r="292" spans="1:3">
      <c r="A292" s="274"/>
      <c r="B292" s="274"/>
      <c r="C292" s="274"/>
    </row>
    <row r="293" spans="1:3">
      <c r="A293" s="274"/>
      <c r="B293" s="274"/>
      <c r="C293" s="274"/>
    </row>
    <row r="294" spans="1:3">
      <c r="A294" s="274"/>
      <c r="B294" s="274"/>
      <c r="C294" s="274"/>
    </row>
    <row r="295" spans="1:3">
      <c r="A295" s="274"/>
      <c r="B295" s="274"/>
      <c r="C295" s="274"/>
    </row>
    <row r="296" spans="1:3">
      <c r="A296" s="274"/>
      <c r="B296" s="274"/>
      <c r="C296" s="274"/>
    </row>
    <row r="297" spans="1:3">
      <c r="A297" s="274"/>
      <c r="B297" s="274"/>
      <c r="C297" s="274"/>
    </row>
    <row r="298" spans="1:3">
      <c r="A298" s="274"/>
      <c r="B298" s="274"/>
      <c r="C298" s="274"/>
    </row>
    <row r="299" spans="1:3">
      <c r="A299" s="274"/>
      <c r="B299" s="274"/>
      <c r="C299" s="274"/>
    </row>
    <row r="300" spans="1:3">
      <c r="A300" s="274"/>
      <c r="B300" s="274"/>
      <c r="C300" s="274"/>
    </row>
    <row r="301" spans="1:3">
      <c r="A301" s="274"/>
      <c r="B301" s="274"/>
      <c r="C301" s="274"/>
    </row>
    <row r="302" spans="1:3">
      <c r="A302" s="274"/>
      <c r="B302" s="274"/>
      <c r="C302" s="274"/>
    </row>
    <row r="303" spans="1:3">
      <c r="A303" s="274"/>
      <c r="B303" s="274"/>
      <c r="C303" s="274"/>
    </row>
    <row r="304" spans="1:3">
      <c r="A304" s="122"/>
      <c r="B304" s="122"/>
      <c r="C304" s="122"/>
    </row>
    <row r="305" spans="1:3">
      <c r="A305" s="122"/>
      <c r="B305" s="122"/>
      <c r="C305" s="122"/>
    </row>
    <row r="306" spans="1:3">
      <c r="A306" s="122"/>
      <c r="B306" s="122"/>
      <c r="C306" s="122"/>
    </row>
    <row r="307" spans="1:3">
      <c r="A307" s="122"/>
      <c r="B307" s="122"/>
      <c r="C307" s="122"/>
    </row>
    <row r="308" spans="1:3">
      <c r="A308" s="122"/>
      <c r="B308" s="122"/>
      <c r="C308" s="122"/>
    </row>
    <row r="309" spans="1:3">
      <c r="A309" s="122"/>
      <c r="B309" s="122"/>
      <c r="C309" s="122"/>
    </row>
    <row r="310" spans="1:3">
      <c r="A310" s="122"/>
      <c r="B310" s="122"/>
      <c r="C310" s="122"/>
    </row>
    <row r="311" spans="1:3">
      <c r="A311" s="122"/>
      <c r="B311" s="122"/>
      <c r="C311" s="122"/>
    </row>
    <row r="312" spans="1:3">
      <c r="A312" s="122"/>
      <c r="B312" s="122"/>
      <c r="C312" s="122"/>
    </row>
    <row r="313" spans="1:3">
      <c r="A313" s="122"/>
      <c r="B313" s="122"/>
      <c r="C313" s="122"/>
    </row>
    <row r="314" spans="1:3">
      <c r="A314" s="122"/>
      <c r="B314" s="122"/>
      <c r="C314" s="122"/>
    </row>
    <row r="315" spans="1:3">
      <c r="A315" s="122"/>
      <c r="B315" s="122"/>
      <c r="C315" s="122"/>
    </row>
    <row r="316" spans="1:3">
      <c r="A316" s="122"/>
      <c r="B316" s="122"/>
      <c r="C316" s="122"/>
    </row>
    <row r="317" spans="1:3">
      <c r="A317" s="122"/>
      <c r="B317" s="122"/>
      <c r="C317" s="122"/>
    </row>
    <row r="318" spans="1:3">
      <c r="A318" s="122"/>
      <c r="B318" s="122"/>
      <c r="C318" s="122"/>
    </row>
    <row r="319" spans="1:3">
      <c r="A319" s="122"/>
      <c r="B319" s="122"/>
      <c r="C319" s="122"/>
    </row>
    <row r="320" spans="1:3">
      <c r="A320" s="122"/>
      <c r="B320" s="122"/>
      <c r="C320" s="122"/>
    </row>
    <row r="321" spans="1:3">
      <c r="A321" s="122"/>
      <c r="B321" s="122"/>
      <c r="C321" s="122"/>
    </row>
    <row r="322" spans="1:3">
      <c r="A322" s="122"/>
      <c r="B322" s="122"/>
      <c r="C322" s="122"/>
    </row>
    <row r="323" spans="1:3">
      <c r="A323" s="122"/>
      <c r="B323" s="122"/>
      <c r="C323" s="122"/>
    </row>
    <row r="324" spans="1:3">
      <c r="A324" s="122"/>
      <c r="B324" s="122"/>
      <c r="C324" s="122"/>
    </row>
    <row r="325" spans="1:3">
      <c r="A325" s="122"/>
      <c r="B325" s="122"/>
      <c r="C325" s="122"/>
    </row>
    <row r="326" spans="1:3">
      <c r="A326" s="122"/>
      <c r="B326" s="122"/>
      <c r="C326" s="122"/>
    </row>
    <row r="327" spans="1:3">
      <c r="A327" s="122"/>
      <c r="B327" s="122"/>
      <c r="C327" s="122"/>
    </row>
    <row r="328" spans="1:3">
      <c r="A328" s="122"/>
      <c r="B328" s="122"/>
      <c r="C328" s="122"/>
    </row>
    <row r="329" spans="1:3">
      <c r="A329" s="122"/>
      <c r="B329" s="122"/>
      <c r="C329" s="122"/>
    </row>
    <row r="330" spans="1:3">
      <c r="A330" s="122"/>
      <c r="B330" s="122"/>
      <c r="C330" s="122"/>
    </row>
    <row r="331" spans="1:3">
      <c r="A331" s="122"/>
      <c r="B331" s="122"/>
      <c r="C331" s="122"/>
    </row>
    <row r="332" spans="1:3">
      <c r="A332" s="122"/>
      <c r="B332" s="122"/>
      <c r="C332" s="122"/>
    </row>
    <row r="333" spans="1:3">
      <c r="A333" s="122"/>
      <c r="B333" s="122"/>
      <c r="C333" s="122"/>
    </row>
    <row r="334" spans="1:3">
      <c r="A334" s="122"/>
      <c r="B334" s="122"/>
      <c r="C334" s="122"/>
    </row>
    <row r="335" spans="1:3">
      <c r="A335" s="122"/>
      <c r="B335" s="122"/>
      <c r="C335" s="122"/>
    </row>
    <row r="336" spans="1:3">
      <c r="A336" s="122"/>
      <c r="B336" s="122"/>
      <c r="C336" s="122"/>
    </row>
    <row r="337" spans="1:3">
      <c r="A337" s="122"/>
      <c r="B337" s="122"/>
      <c r="C337" s="122"/>
    </row>
    <row r="338" spans="1:3">
      <c r="A338" s="122"/>
      <c r="B338" s="122"/>
      <c r="C338" s="122"/>
    </row>
    <row r="339" spans="1:3">
      <c r="A339" s="122"/>
      <c r="B339" s="122"/>
      <c r="C339" s="122"/>
    </row>
    <row r="340" spans="1:3">
      <c r="A340" s="122"/>
      <c r="B340" s="122"/>
      <c r="C340" s="122"/>
    </row>
    <row r="341" spans="1:3">
      <c r="A341" s="122"/>
      <c r="B341" s="122"/>
      <c r="C341" s="122"/>
    </row>
    <row r="342" spans="1:3">
      <c r="A342" s="122"/>
      <c r="B342" s="122"/>
      <c r="C342" s="122"/>
    </row>
    <row r="343" spans="1:3">
      <c r="A343" s="122"/>
      <c r="B343" s="122"/>
      <c r="C343" s="122"/>
    </row>
    <row r="344" spans="1:3">
      <c r="A344" s="122"/>
      <c r="B344" s="122"/>
      <c r="C344" s="122"/>
    </row>
    <row r="345" spans="1:3">
      <c r="A345" s="122"/>
      <c r="B345" s="122"/>
      <c r="C345" s="122"/>
    </row>
    <row r="346" spans="1:3">
      <c r="A346" s="122"/>
      <c r="B346" s="122"/>
      <c r="C346" s="122"/>
    </row>
    <row r="347" spans="1:3">
      <c r="A347" s="122"/>
      <c r="B347" s="122"/>
      <c r="C347" s="122"/>
    </row>
    <row r="348" spans="1:3">
      <c r="A348" s="122"/>
      <c r="B348" s="122"/>
      <c r="C348" s="122"/>
    </row>
    <row r="349" spans="1:3">
      <c r="A349" s="122"/>
      <c r="B349" s="122"/>
      <c r="C349" s="122"/>
    </row>
    <row r="350" spans="1:3">
      <c r="A350" s="122"/>
      <c r="B350" s="122"/>
      <c r="C350" s="122"/>
    </row>
    <row r="351" spans="1:3">
      <c r="A351" s="122"/>
      <c r="B351" s="122"/>
      <c r="C351" s="122"/>
    </row>
    <row r="352" spans="1:3">
      <c r="A352" s="122"/>
      <c r="B352" s="122"/>
      <c r="C352" s="122"/>
    </row>
    <row r="353" spans="1:3">
      <c r="A353" s="122"/>
      <c r="B353" s="122"/>
      <c r="C353" s="122"/>
    </row>
    <row r="354" spans="1:3">
      <c r="A354" s="122"/>
      <c r="B354" s="122"/>
      <c r="C354" s="122"/>
    </row>
    <row r="355" spans="1:3">
      <c r="A355" s="122"/>
      <c r="B355" s="122"/>
      <c r="C355" s="122"/>
    </row>
    <row r="356" spans="1:3">
      <c r="A356" s="122"/>
      <c r="B356" s="122"/>
      <c r="C356" s="122"/>
    </row>
    <row r="357" spans="1:3">
      <c r="A357" s="122"/>
      <c r="B357" s="122"/>
      <c r="C357" s="122"/>
    </row>
    <row r="358" spans="1:3">
      <c r="A358" s="122"/>
      <c r="B358" s="122"/>
      <c r="C358" s="122"/>
    </row>
    <row r="359" spans="1:3">
      <c r="A359" s="122"/>
      <c r="B359" s="122"/>
      <c r="C359" s="122"/>
    </row>
    <row r="360" spans="1:3">
      <c r="A360" s="122"/>
      <c r="B360" s="122"/>
      <c r="C360" s="122"/>
    </row>
    <row r="361" spans="1:3">
      <c r="A361" s="122"/>
      <c r="B361" s="122"/>
      <c r="C361" s="122"/>
    </row>
    <row r="362" spans="1:3">
      <c r="A362" s="122"/>
      <c r="B362" s="122"/>
      <c r="C362" s="122"/>
    </row>
    <row r="363" spans="1:3">
      <c r="A363" s="122"/>
      <c r="B363" s="122"/>
      <c r="C363" s="122"/>
    </row>
    <row r="364" spans="1:3">
      <c r="A364" s="122"/>
      <c r="B364" s="122"/>
      <c r="C364" s="122"/>
    </row>
    <row r="365" spans="1:3">
      <c r="A365" s="122"/>
      <c r="B365" s="122"/>
      <c r="C365" s="122"/>
    </row>
    <row r="366" spans="1:3">
      <c r="A366" s="122"/>
      <c r="B366" s="122"/>
      <c r="C366" s="122"/>
    </row>
    <row r="367" spans="1:3">
      <c r="A367" s="122"/>
      <c r="B367" s="122"/>
      <c r="C367" s="122"/>
    </row>
    <row r="368" spans="1:3">
      <c r="A368" s="122"/>
      <c r="B368" s="122"/>
      <c r="C368" s="122"/>
    </row>
    <row r="369" spans="1:3">
      <c r="A369" s="122"/>
      <c r="B369" s="122"/>
      <c r="C369" s="122"/>
    </row>
    <row r="370" spans="1:3">
      <c r="A370" s="122"/>
      <c r="B370" s="122"/>
      <c r="C370" s="122"/>
    </row>
    <row r="371" spans="1:3">
      <c r="A371" s="122"/>
      <c r="B371" s="122"/>
      <c r="C371" s="122"/>
    </row>
    <row r="372" spans="1:3">
      <c r="A372" s="122"/>
      <c r="B372" s="122"/>
      <c r="C372" s="122"/>
    </row>
    <row r="373" spans="1:3">
      <c r="A373" s="122"/>
      <c r="B373" s="122"/>
      <c r="C373" s="122"/>
    </row>
    <row r="374" spans="1:3">
      <c r="A374" s="122"/>
      <c r="B374" s="122"/>
      <c r="C374" s="122"/>
    </row>
    <row r="375" spans="1:3">
      <c r="A375" s="122"/>
      <c r="B375" s="122"/>
      <c r="C375" s="122"/>
    </row>
    <row r="376" spans="1:3">
      <c r="A376" s="122"/>
      <c r="B376" s="122"/>
      <c r="C376" s="122"/>
    </row>
    <row r="377" spans="1:3">
      <c r="A377" s="122"/>
      <c r="B377" s="122"/>
      <c r="C377" s="122"/>
    </row>
    <row r="378" spans="1:3">
      <c r="A378" s="122"/>
      <c r="B378" s="122"/>
      <c r="C378" s="122"/>
    </row>
    <row r="379" spans="1:3">
      <c r="A379" s="122"/>
      <c r="B379" s="122"/>
      <c r="C379" s="122"/>
    </row>
    <row r="380" spans="1:3">
      <c r="A380" s="122"/>
      <c r="B380" s="122"/>
      <c r="C380" s="122"/>
    </row>
    <row r="381" spans="1:3">
      <c r="A381" s="122"/>
      <c r="B381" s="122"/>
      <c r="C381" s="122"/>
    </row>
    <row r="382" spans="1:3">
      <c r="A382" s="122"/>
      <c r="B382" s="122"/>
      <c r="C382" s="122"/>
    </row>
    <row r="383" spans="1:3">
      <c r="A383" s="122"/>
      <c r="B383" s="122"/>
      <c r="C383" s="122"/>
    </row>
    <row r="384" spans="1:3">
      <c r="A384" s="122"/>
      <c r="B384" s="122"/>
      <c r="C384" s="122"/>
    </row>
    <row r="385" spans="1:3">
      <c r="A385" s="122"/>
      <c r="B385" s="122"/>
      <c r="C385" s="122"/>
    </row>
    <row r="386" spans="1:3">
      <c r="A386" s="122"/>
      <c r="B386" s="122"/>
      <c r="C386" s="122"/>
    </row>
    <row r="387" spans="1:3">
      <c r="A387" s="122"/>
      <c r="B387" s="122"/>
      <c r="C387" s="122"/>
    </row>
    <row r="388" spans="1:3">
      <c r="A388" s="122"/>
      <c r="B388" s="122"/>
      <c r="C388" s="122"/>
    </row>
    <row r="389" spans="1:3">
      <c r="A389" s="122"/>
      <c r="B389" s="122"/>
      <c r="C389" s="122"/>
    </row>
    <row r="390" spans="1:3">
      <c r="A390" s="122"/>
      <c r="B390" s="122"/>
      <c r="C390" s="122"/>
    </row>
    <row r="391" spans="1:3">
      <c r="A391" s="122"/>
      <c r="B391" s="122"/>
      <c r="C391" s="122"/>
    </row>
    <row r="392" spans="1:3">
      <c r="A392" s="122"/>
      <c r="B392" s="122"/>
      <c r="C392" s="122"/>
    </row>
    <row r="393" spans="1:3">
      <c r="A393" s="122"/>
      <c r="B393" s="122"/>
      <c r="C393" s="122"/>
    </row>
    <row r="394" spans="1:3">
      <c r="A394" s="122"/>
      <c r="B394" s="122"/>
      <c r="C394" s="122"/>
    </row>
    <row r="395" spans="1:3">
      <c r="A395" s="122"/>
      <c r="B395" s="122"/>
      <c r="C395" s="122"/>
    </row>
    <row r="396" spans="1:3">
      <c r="A396" s="122"/>
      <c r="B396" s="122"/>
      <c r="C396" s="122"/>
    </row>
    <row r="397" spans="1:3">
      <c r="A397" s="122"/>
      <c r="B397" s="122"/>
      <c r="C397" s="122"/>
    </row>
    <row r="398" spans="1:3">
      <c r="A398" s="122"/>
      <c r="B398" s="122"/>
      <c r="C398" s="122"/>
    </row>
    <row r="399" spans="1:3">
      <c r="A399" s="122"/>
      <c r="B399" s="122"/>
      <c r="C399" s="122"/>
    </row>
    <row r="400" spans="1:3">
      <c r="A400" s="122"/>
      <c r="B400" s="122"/>
      <c r="C400" s="122"/>
    </row>
    <row r="401" spans="1:3">
      <c r="A401" s="122"/>
      <c r="B401" s="122"/>
      <c r="C401" s="122"/>
    </row>
    <row r="402" spans="1:3">
      <c r="A402" s="122"/>
      <c r="B402" s="122"/>
      <c r="C402" s="122"/>
    </row>
    <row r="403" spans="1:3">
      <c r="A403" s="122"/>
      <c r="B403" s="122"/>
      <c r="C403" s="122"/>
    </row>
    <row r="404" spans="1:3">
      <c r="A404" s="122"/>
      <c r="B404" s="122"/>
      <c r="C404" s="122"/>
    </row>
    <row r="405" spans="1:3">
      <c r="A405" s="122"/>
      <c r="B405" s="122"/>
      <c r="C405" s="122"/>
    </row>
    <row r="406" spans="1:3">
      <c r="A406" s="122"/>
      <c r="B406" s="122"/>
      <c r="C406" s="122"/>
    </row>
    <row r="407" spans="1:3">
      <c r="A407" s="122"/>
      <c r="B407" s="122"/>
      <c r="C407" s="122"/>
    </row>
    <row r="408" spans="1:3">
      <c r="A408" s="122"/>
      <c r="B408" s="122"/>
      <c r="C408" s="122"/>
    </row>
    <row r="409" spans="1:3">
      <c r="A409" s="122"/>
      <c r="B409" s="122"/>
      <c r="C409" s="122"/>
    </row>
    <row r="410" spans="1:3">
      <c r="A410" s="122"/>
      <c r="B410" s="122"/>
      <c r="C410" s="122"/>
    </row>
    <row r="411" spans="1:3">
      <c r="A411" s="122"/>
      <c r="B411" s="122"/>
      <c r="C411" s="122"/>
    </row>
    <row r="412" spans="1:3">
      <c r="A412" s="122"/>
      <c r="B412" s="122"/>
      <c r="C412" s="122"/>
    </row>
    <row r="413" spans="1:3">
      <c r="A413" s="122"/>
      <c r="B413" s="122"/>
      <c r="C413" s="122"/>
    </row>
    <row r="414" spans="1:3">
      <c r="A414" s="122"/>
      <c r="B414" s="122"/>
      <c r="C414" s="122"/>
    </row>
    <row r="415" spans="1:3">
      <c r="A415" s="122"/>
      <c r="B415" s="122"/>
      <c r="C415" s="122"/>
    </row>
    <row r="416" spans="1:3">
      <c r="A416" s="122"/>
      <c r="B416" s="122"/>
      <c r="C416" s="122"/>
    </row>
    <row r="417" spans="1:3">
      <c r="A417" s="122"/>
      <c r="B417" s="122"/>
      <c r="C417" s="122"/>
    </row>
    <row r="418" spans="1:3">
      <c r="A418" s="122"/>
      <c r="B418" s="122"/>
      <c r="C418" s="122"/>
    </row>
    <row r="419" spans="1:3">
      <c r="A419" s="122"/>
      <c r="B419" s="122"/>
      <c r="C419" s="122"/>
    </row>
    <row r="420" spans="1:3">
      <c r="A420" s="122"/>
      <c r="B420" s="122"/>
      <c r="C420" s="122"/>
    </row>
    <row r="421" spans="1:3">
      <c r="A421" s="122"/>
      <c r="B421" s="122"/>
      <c r="C421" s="122"/>
    </row>
    <row r="422" spans="1:3">
      <c r="A422" s="122"/>
      <c r="B422" s="122"/>
      <c r="C422" s="122"/>
    </row>
    <row r="423" spans="1:3">
      <c r="A423" s="122"/>
      <c r="B423" s="122"/>
      <c r="C423" s="122"/>
    </row>
    <row r="424" spans="1:3">
      <c r="A424" s="122"/>
      <c r="B424" s="122"/>
      <c r="C424" s="122"/>
    </row>
    <row r="425" spans="1:3">
      <c r="A425" s="122"/>
      <c r="B425" s="122"/>
      <c r="C425" s="122"/>
    </row>
    <row r="426" spans="1:3">
      <c r="A426" s="122"/>
      <c r="B426" s="122"/>
      <c r="C426" s="122"/>
    </row>
    <row r="427" spans="1:3">
      <c r="A427" s="122"/>
      <c r="B427" s="122"/>
      <c r="C427" s="122"/>
    </row>
    <row r="428" spans="1:3">
      <c r="A428" s="122"/>
      <c r="B428" s="122"/>
      <c r="C428" s="122"/>
    </row>
    <row r="429" spans="1:3">
      <c r="A429" s="122"/>
      <c r="B429" s="122"/>
      <c r="C429" s="122"/>
    </row>
    <row r="430" spans="1:3">
      <c r="A430" s="122"/>
      <c r="B430" s="122"/>
      <c r="C430" s="122"/>
    </row>
    <row r="431" spans="1:3">
      <c r="A431" s="122"/>
      <c r="B431" s="122"/>
      <c r="C431" s="122"/>
    </row>
    <row r="432" spans="1:3">
      <c r="A432" s="122"/>
      <c r="B432" s="122"/>
      <c r="C432" s="122"/>
    </row>
    <row r="433" spans="1:3">
      <c r="A433" s="122"/>
      <c r="B433" s="122"/>
      <c r="C433" s="122"/>
    </row>
    <row r="434" spans="1:3">
      <c r="A434" s="122"/>
      <c r="B434" s="122"/>
      <c r="C434" s="122"/>
    </row>
    <row r="435" spans="1:3">
      <c r="A435" s="122"/>
      <c r="B435" s="122"/>
      <c r="C435" s="122"/>
    </row>
    <row r="436" spans="1:3">
      <c r="A436" s="122"/>
      <c r="B436" s="122"/>
      <c r="C436" s="122"/>
    </row>
    <row r="437" spans="1:3">
      <c r="A437" s="122"/>
      <c r="B437" s="122"/>
      <c r="C437" s="122"/>
    </row>
    <row r="438" spans="1:3">
      <c r="A438" s="122"/>
      <c r="B438" s="122"/>
      <c r="C438" s="122"/>
    </row>
    <row r="439" spans="1:3">
      <c r="A439" s="122"/>
      <c r="B439" s="122"/>
      <c r="C439" s="122"/>
    </row>
    <row r="440" spans="1:3">
      <c r="A440" s="122"/>
      <c r="B440" s="122"/>
      <c r="C440" s="122"/>
    </row>
    <row r="441" spans="1:3">
      <c r="A441" s="122"/>
      <c r="B441" s="122"/>
      <c r="C441" s="122"/>
    </row>
    <row r="442" spans="1:3">
      <c r="A442" s="122"/>
      <c r="B442" s="122"/>
      <c r="C442" s="122"/>
    </row>
    <row r="443" spans="1:3">
      <c r="A443" s="122"/>
      <c r="B443" s="122"/>
      <c r="C443" s="122"/>
    </row>
    <row r="444" spans="1:3">
      <c r="A444" s="122"/>
      <c r="B444" s="122"/>
      <c r="C444" s="122"/>
    </row>
    <row r="445" spans="1:3">
      <c r="A445" s="122"/>
      <c r="B445" s="122"/>
      <c r="C445" s="122"/>
    </row>
    <row r="446" spans="1:3">
      <c r="A446" s="122"/>
      <c r="B446" s="122"/>
      <c r="C446" s="122"/>
    </row>
    <row r="447" spans="1:3">
      <c r="A447" s="122"/>
      <c r="B447" s="122"/>
      <c r="C447" s="122"/>
    </row>
    <row r="448" spans="1:3">
      <c r="A448" s="122"/>
      <c r="B448" s="122"/>
      <c r="C448" s="122"/>
    </row>
    <row r="449" spans="1:3">
      <c r="A449" s="122"/>
      <c r="B449" s="122"/>
      <c r="C449" s="122"/>
    </row>
    <row r="450" spans="1:3">
      <c r="A450" s="122"/>
      <c r="B450" s="122"/>
      <c r="C450" s="122"/>
    </row>
    <row r="451" spans="1:3">
      <c r="A451" s="122"/>
      <c r="B451" s="122"/>
      <c r="C451" s="122"/>
    </row>
    <row r="452" spans="1:3">
      <c r="A452" s="122"/>
      <c r="B452" s="122"/>
      <c r="C452" s="122"/>
    </row>
    <row r="453" spans="1:3">
      <c r="A453" s="122"/>
      <c r="B453" s="122"/>
      <c r="C453" s="122"/>
    </row>
    <row r="454" spans="1:3">
      <c r="A454" s="122"/>
      <c r="B454" s="122"/>
      <c r="C454" s="122"/>
    </row>
    <row r="455" spans="1:3">
      <c r="A455" s="122"/>
      <c r="B455" s="122"/>
      <c r="C455" s="122"/>
    </row>
    <row r="456" spans="1:3">
      <c r="A456" s="122"/>
      <c r="B456" s="122"/>
      <c r="C456" s="122"/>
    </row>
    <row r="457" spans="1:3">
      <c r="A457" s="122"/>
      <c r="B457" s="122"/>
      <c r="C457" s="122"/>
    </row>
    <row r="458" spans="1:3">
      <c r="A458" s="122"/>
      <c r="B458" s="122"/>
      <c r="C458" s="122"/>
    </row>
    <row r="459" spans="1:3">
      <c r="A459" s="122"/>
      <c r="B459" s="122"/>
      <c r="C459" s="122"/>
    </row>
    <row r="460" spans="1:3">
      <c r="A460" s="122"/>
      <c r="B460" s="122"/>
      <c r="C460" s="122"/>
    </row>
    <row r="461" spans="1:3">
      <c r="A461" s="122"/>
      <c r="B461" s="122"/>
      <c r="C461" s="122"/>
    </row>
    <row r="462" spans="1:3">
      <c r="A462" s="122"/>
      <c r="B462" s="122"/>
      <c r="C462" s="122"/>
    </row>
    <row r="463" spans="1:3">
      <c r="A463" s="122"/>
      <c r="B463" s="122"/>
      <c r="C463" s="122"/>
    </row>
    <row r="464" spans="1:3">
      <c r="A464" s="122"/>
      <c r="B464" s="122"/>
      <c r="C464" s="122"/>
    </row>
    <row r="465" spans="1:3">
      <c r="A465" s="122"/>
      <c r="B465" s="122"/>
      <c r="C465" s="122"/>
    </row>
    <row r="466" spans="1:3">
      <c r="A466" s="122"/>
      <c r="B466" s="122"/>
      <c r="C466" s="122"/>
    </row>
    <row r="467" spans="1:3">
      <c r="A467" s="122"/>
      <c r="B467" s="122"/>
      <c r="C467" s="122"/>
    </row>
    <row r="468" spans="1:3">
      <c r="A468" s="122"/>
      <c r="B468" s="122"/>
      <c r="C468" s="122"/>
    </row>
    <row r="469" spans="1:3">
      <c r="A469" s="122"/>
      <c r="B469" s="122"/>
      <c r="C469" s="122"/>
    </row>
    <row r="470" spans="1:3">
      <c r="A470" s="122"/>
      <c r="B470" s="122"/>
      <c r="C470" s="122"/>
    </row>
    <row r="471" spans="1:3">
      <c r="A471" s="122"/>
      <c r="B471" s="122"/>
      <c r="C471" s="122"/>
    </row>
    <row r="472" spans="1:3">
      <c r="A472" s="122"/>
      <c r="B472" s="122"/>
      <c r="C472" s="122"/>
    </row>
    <row r="473" spans="1:3">
      <c r="A473" s="122"/>
      <c r="B473" s="122"/>
      <c r="C473" s="122"/>
    </row>
    <row r="474" spans="1:3">
      <c r="A474" s="122"/>
      <c r="B474" s="122"/>
      <c r="C474" s="122"/>
    </row>
    <row r="475" spans="1:3">
      <c r="A475" s="122"/>
      <c r="B475" s="122"/>
      <c r="C475" s="122"/>
    </row>
    <row r="476" spans="1:3">
      <c r="A476" s="122"/>
      <c r="B476" s="122"/>
      <c r="C476" s="122"/>
    </row>
    <row r="477" spans="1:3">
      <c r="A477" s="122"/>
      <c r="B477" s="122"/>
      <c r="C477" s="122"/>
    </row>
    <row r="478" spans="1:3">
      <c r="A478" s="122"/>
      <c r="B478" s="122"/>
      <c r="C478" s="122"/>
    </row>
    <row r="479" spans="1:3">
      <c r="A479" s="122"/>
      <c r="B479" s="122"/>
      <c r="C479" s="122"/>
    </row>
    <row r="480" spans="1:3">
      <c r="A480" s="122"/>
      <c r="B480" s="122"/>
      <c r="C480" s="122"/>
    </row>
    <row r="481" spans="1:3">
      <c r="A481" s="122"/>
      <c r="B481" s="122"/>
      <c r="C481" s="122"/>
    </row>
    <row r="482" spans="1:3">
      <c r="A482" s="122"/>
      <c r="B482" s="122"/>
      <c r="C482" s="122"/>
    </row>
    <row r="483" spans="1:3">
      <c r="A483" s="122"/>
      <c r="B483" s="122"/>
      <c r="C483" s="122"/>
    </row>
    <row r="484" spans="1:3">
      <c r="A484" s="122"/>
      <c r="B484" s="122"/>
      <c r="C484" s="122"/>
    </row>
    <row r="485" spans="1:3">
      <c r="A485" s="122"/>
      <c r="B485" s="122"/>
      <c r="C485" s="122"/>
    </row>
    <row r="486" spans="1:3">
      <c r="A486" s="122"/>
      <c r="B486" s="122"/>
      <c r="C486" s="122"/>
    </row>
    <row r="487" spans="1:3">
      <c r="A487" s="122"/>
      <c r="B487" s="122"/>
      <c r="C487" s="122"/>
    </row>
    <row r="488" spans="1:3">
      <c r="A488" s="122"/>
      <c r="B488" s="122"/>
      <c r="C488" s="122"/>
    </row>
    <row r="489" spans="1:3">
      <c r="A489" s="122"/>
      <c r="B489" s="122"/>
      <c r="C489" s="122"/>
    </row>
    <row r="490" spans="1:3">
      <c r="A490" s="122"/>
      <c r="B490" s="122"/>
      <c r="C490" s="122"/>
    </row>
    <row r="491" spans="1:3">
      <c r="A491" s="122"/>
      <c r="B491" s="122"/>
      <c r="C491" s="122"/>
    </row>
    <row r="492" spans="1:3">
      <c r="A492" s="122"/>
      <c r="B492" s="122"/>
      <c r="C492" s="122"/>
    </row>
    <row r="493" spans="1:3">
      <c r="A493" s="122"/>
      <c r="B493" s="122"/>
      <c r="C493" s="122"/>
    </row>
    <row r="494" spans="1:3">
      <c r="A494" s="122"/>
      <c r="B494" s="122"/>
      <c r="C494" s="122"/>
    </row>
    <row r="495" spans="1:3">
      <c r="A495" s="122"/>
      <c r="B495" s="122"/>
      <c r="C495" s="122"/>
    </row>
    <row r="496" spans="1:3">
      <c r="A496" s="122"/>
      <c r="B496" s="122"/>
      <c r="C496" s="122"/>
    </row>
    <row r="497" spans="1:3">
      <c r="A497" s="122"/>
      <c r="B497" s="122"/>
      <c r="C497" s="122"/>
    </row>
    <row r="498" spans="1:3">
      <c r="A498" s="122"/>
      <c r="B498" s="122"/>
      <c r="C498" s="122"/>
    </row>
    <row r="499" spans="1:3">
      <c r="A499" s="122"/>
      <c r="B499" s="122"/>
      <c r="C499" s="122"/>
    </row>
    <row r="500" spans="1:3">
      <c r="A500" s="122"/>
      <c r="B500" s="122"/>
      <c r="C500" s="122"/>
    </row>
    <row r="501" spans="1:3">
      <c r="A501" s="122"/>
      <c r="B501" s="122"/>
      <c r="C501" s="122"/>
    </row>
    <row r="502" spans="1:3">
      <c r="A502" s="122"/>
      <c r="B502" s="122"/>
      <c r="C502" s="122"/>
    </row>
    <row r="503" spans="1:3">
      <c r="A503" s="122"/>
      <c r="B503" s="122"/>
      <c r="C503" s="122"/>
    </row>
    <row r="504" spans="1:3">
      <c r="A504" s="122"/>
      <c r="B504" s="122"/>
      <c r="C504" s="122"/>
    </row>
    <row r="505" spans="1:3">
      <c r="A505" s="122"/>
      <c r="B505" s="122"/>
      <c r="C505" s="122"/>
    </row>
    <row r="506" spans="1:3">
      <c r="A506" s="122"/>
      <c r="B506" s="122"/>
      <c r="C506" s="122"/>
    </row>
    <row r="507" spans="1:3">
      <c r="A507" s="122"/>
      <c r="B507" s="122"/>
      <c r="C507" s="122"/>
    </row>
    <row r="508" spans="1:3">
      <c r="A508" s="122"/>
      <c r="B508" s="122"/>
      <c r="C508" s="122"/>
    </row>
    <row r="509" spans="1:3">
      <c r="A509" s="122"/>
      <c r="B509" s="122"/>
      <c r="C509" s="122"/>
    </row>
    <row r="510" spans="1:3">
      <c r="A510" s="122"/>
      <c r="B510" s="122"/>
      <c r="C510" s="122"/>
    </row>
    <row r="511" spans="1:3">
      <c r="A511" s="122"/>
      <c r="B511" s="122"/>
      <c r="C511" s="122"/>
    </row>
    <row r="512" spans="1:3">
      <c r="A512" s="122"/>
      <c r="B512" s="122"/>
      <c r="C512" s="122"/>
    </row>
    <row r="513" spans="1:3">
      <c r="A513" s="122"/>
      <c r="B513" s="122"/>
      <c r="C513" s="122"/>
    </row>
    <row r="514" spans="1:3">
      <c r="A514" s="122"/>
      <c r="B514" s="122"/>
      <c r="C514" s="122"/>
    </row>
    <row r="515" spans="1:3">
      <c r="A515" s="122"/>
      <c r="B515" s="122"/>
      <c r="C515" s="122"/>
    </row>
    <row r="516" spans="1:3">
      <c r="A516" s="122"/>
      <c r="B516" s="122"/>
      <c r="C516" s="122"/>
    </row>
    <row r="517" spans="1:3">
      <c r="A517" s="122"/>
      <c r="B517" s="122"/>
      <c r="C517" s="122"/>
    </row>
    <row r="518" spans="1:3">
      <c r="A518" s="122"/>
      <c r="B518" s="122"/>
      <c r="C518" s="122"/>
    </row>
    <row r="519" spans="1:3">
      <c r="A519" s="122"/>
      <c r="B519" s="122"/>
      <c r="C519" s="122"/>
    </row>
    <row r="520" spans="1:3">
      <c r="A520" s="122"/>
      <c r="B520" s="122"/>
      <c r="C520" s="122"/>
    </row>
    <row r="521" spans="1:3">
      <c r="A521" s="122"/>
      <c r="B521" s="122"/>
      <c r="C521" s="122"/>
    </row>
    <row r="522" spans="1:3">
      <c r="A522" s="122"/>
      <c r="B522" s="122"/>
      <c r="C522" s="122"/>
    </row>
    <row r="523" spans="1:3">
      <c r="A523" s="122"/>
      <c r="B523" s="122"/>
      <c r="C523" s="122"/>
    </row>
    <row r="524" spans="1:3">
      <c r="A524" s="122"/>
      <c r="B524" s="122"/>
      <c r="C524" s="122"/>
    </row>
    <row r="525" spans="1:3">
      <c r="A525" s="122"/>
      <c r="B525" s="122"/>
      <c r="C525" s="122"/>
    </row>
    <row r="526" spans="1:3">
      <c r="A526" s="122"/>
      <c r="B526" s="122"/>
      <c r="C526" s="122"/>
    </row>
    <row r="527" spans="1:3">
      <c r="A527" s="122"/>
      <c r="B527" s="122"/>
      <c r="C527" s="122"/>
    </row>
    <row r="528" spans="1:3">
      <c r="A528" s="122"/>
      <c r="B528" s="122"/>
      <c r="C528" s="122"/>
    </row>
    <row r="529" spans="1:3">
      <c r="A529" s="122"/>
      <c r="B529" s="122"/>
      <c r="C529" s="122"/>
    </row>
    <row r="530" spans="1:3">
      <c r="A530" s="122"/>
      <c r="B530" s="122"/>
      <c r="C530" s="122"/>
    </row>
    <row r="531" spans="1:3">
      <c r="A531" s="122"/>
      <c r="B531" s="122"/>
      <c r="C531" s="122"/>
    </row>
    <row r="532" spans="1:3">
      <c r="A532" s="122"/>
      <c r="B532" s="122"/>
      <c r="C532" s="122"/>
    </row>
    <row r="533" spans="1:3">
      <c r="A533" s="122"/>
      <c r="B533" s="122"/>
      <c r="C533" s="122"/>
    </row>
    <row r="534" spans="1:3">
      <c r="A534" s="122"/>
      <c r="B534" s="122"/>
      <c r="C534" s="122"/>
    </row>
    <row r="535" spans="1:3">
      <c r="A535" s="122"/>
      <c r="B535" s="122"/>
      <c r="C535" s="122"/>
    </row>
    <row r="536" spans="1:3">
      <c r="A536" s="122"/>
      <c r="B536" s="122"/>
      <c r="C536" s="122"/>
    </row>
    <row r="537" spans="1:3">
      <c r="A537" s="122"/>
      <c r="B537" s="122"/>
      <c r="C537" s="122"/>
    </row>
    <row r="538" spans="1:3">
      <c r="A538" s="122"/>
      <c r="B538" s="122"/>
      <c r="C538" s="122"/>
    </row>
    <row r="539" spans="1:3">
      <c r="A539" s="122"/>
      <c r="B539" s="122"/>
      <c r="C539" s="122"/>
    </row>
    <row r="540" spans="1:3">
      <c r="A540" s="122"/>
      <c r="B540" s="122"/>
      <c r="C540" s="122"/>
    </row>
    <row r="541" spans="1:3">
      <c r="A541" s="122"/>
      <c r="B541" s="122"/>
      <c r="C541" s="122"/>
    </row>
    <row r="542" spans="1:3">
      <c r="A542" s="122"/>
      <c r="B542" s="122"/>
      <c r="C542" s="122"/>
    </row>
    <row r="543" spans="1:3">
      <c r="A543" s="122"/>
      <c r="B543" s="122"/>
      <c r="C543" s="122"/>
    </row>
    <row r="544" spans="1:3">
      <c r="A544" s="122"/>
      <c r="B544" s="122"/>
      <c r="C544" s="122"/>
    </row>
    <row r="545" spans="1:3">
      <c r="A545" s="122"/>
      <c r="B545" s="122"/>
      <c r="C545" s="122"/>
    </row>
    <row r="546" spans="1:3">
      <c r="A546" s="122"/>
      <c r="B546" s="122"/>
      <c r="C546" s="122"/>
    </row>
    <row r="547" spans="1:3">
      <c r="A547" s="122"/>
      <c r="B547" s="122"/>
      <c r="C547" s="122"/>
    </row>
    <row r="548" spans="1:3">
      <c r="A548" s="122"/>
      <c r="B548" s="122"/>
      <c r="C548" s="122"/>
    </row>
    <row r="549" spans="1:3">
      <c r="A549" s="122"/>
      <c r="B549" s="122"/>
      <c r="C549" s="122"/>
    </row>
    <row r="550" spans="1:3">
      <c r="A550" s="122"/>
      <c r="B550" s="122"/>
      <c r="C550" s="122"/>
    </row>
    <row r="551" spans="1:3">
      <c r="A551" s="122"/>
      <c r="B551" s="122"/>
      <c r="C551" s="122"/>
    </row>
    <row r="552" spans="1:3">
      <c r="A552" s="122"/>
      <c r="B552" s="122"/>
      <c r="C552" s="122"/>
    </row>
    <row r="553" spans="1:3">
      <c r="A553" s="122"/>
      <c r="B553" s="122"/>
      <c r="C553" s="122"/>
    </row>
    <row r="554" spans="1:3">
      <c r="A554" s="122"/>
      <c r="B554" s="122"/>
      <c r="C554" s="122"/>
    </row>
    <row r="555" spans="1:3">
      <c r="A555" s="122"/>
      <c r="B555" s="122"/>
      <c r="C555" s="122"/>
    </row>
    <row r="556" spans="1:3">
      <c r="A556" s="122"/>
      <c r="B556" s="122"/>
      <c r="C556" s="122"/>
    </row>
    <row r="557" spans="1:3">
      <c r="A557" s="122"/>
      <c r="B557" s="122"/>
      <c r="C557" s="122"/>
    </row>
    <row r="558" spans="1:3">
      <c r="A558" s="122"/>
      <c r="B558" s="122"/>
      <c r="C558" s="122"/>
    </row>
    <row r="559" spans="1:3">
      <c r="A559" s="122"/>
      <c r="B559" s="122"/>
      <c r="C559" s="122"/>
    </row>
    <row r="560" spans="1:3">
      <c r="A560" s="122"/>
      <c r="B560" s="122"/>
      <c r="C560" s="122"/>
    </row>
    <row r="561" spans="1:3">
      <c r="A561" s="122"/>
      <c r="B561" s="122"/>
      <c r="C561" s="122"/>
    </row>
    <row r="562" spans="1:3">
      <c r="A562" s="122"/>
      <c r="B562" s="122"/>
      <c r="C562" s="122"/>
    </row>
    <row r="563" spans="1:3">
      <c r="A563" s="122"/>
      <c r="B563" s="122"/>
      <c r="C563" s="122"/>
    </row>
    <row r="564" spans="1:3">
      <c r="A564" s="122"/>
      <c r="B564" s="122"/>
      <c r="C564" s="122"/>
    </row>
    <row r="565" spans="1:3">
      <c r="A565" s="122"/>
      <c r="B565" s="122"/>
      <c r="C565" s="122"/>
    </row>
    <row r="566" spans="1:3">
      <c r="A566" s="122"/>
      <c r="B566" s="122"/>
      <c r="C566" s="122"/>
    </row>
    <row r="567" spans="1:3">
      <c r="A567" s="122"/>
      <c r="B567" s="122"/>
      <c r="C567" s="122"/>
    </row>
    <row r="568" spans="1:3">
      <c r="A568" s="122"/>
      <c r="B568" s="122"/>
      <c r="C568" s="122"/>
    </row>
    <row r="569" spans="1:3">
      <c r="A569" s="122"/>
      <c r="B569" s="122"/>
      <c r="C569" s="122"/>
    </row>
    <row r="570" spans="1:3">
      <c r="A570" s="122"/>
      <c r="B570" s="122"/>
      <c r="C570" s="122"/>
    </row>
    <row r="571" spans="1:3">
      <c r="A571" s="122"/>
      <c r="B571" s="122"/>
      <c r="C571" s="122"/>
    </row>
    <row r="572" spans="1:3">
      <c r="A572" s="122"/>
      <c r="B572" s="122"/>
      <c r="C572" s="122"/>
    </row>
    <row r="573" spans="1:3">
      <c r="A573" s="122"/>
      <c r="B573" s="122"/>
      <c r="C573" s="122"/>
    </row>
    <row r="574" spans="1:3">
      <c r="A574" s="122"/>
      <c r="B574" s="122"/>
      <c r="C574" s="122"/>
    </row>
    <row r="575" spans="1:3">
      <c r="A575" s="122"/>
      <c r="B575" s="122"/>
      <c r="C575" s="122"/>
    </row>
    <row r="576" spans="1:3">
      <c r="A576" s="122"/>
      <c r="B576" s="122"/>
      <c r="C576" s="122"/>
    </row>
    <row r="577" spans="1:3">
      <c r="A577" s="122"/>
      <c r="B577" s="122"/>
      <c r="C577" s="122"/>
    </row>
    <row r="578" spans="1:3">
      <c r="A578" s="122"/>
      <c r="B578" s="122"/>
      <c r="C578" s="122"/>
    </row>
    <row r="579" spans="1:3">
      <c r="A579" s="122"/>
      <c r="B579" s="122"/>
      <c r="C579" s="122"/>
    </row>
    <row r="580" spans="1:3">
      <c r="A580" s="122"/>
      <c r="B580" s="122"/>
      <c r="C580" s="122"/>
    </row>
    <row r="581" spans="1:3">
      <c r="A581" s="122"/>
      <c r="B581" s="122"/>
      <c r="C581" s="122"/>
    </row>
    <row r="582" spans="1:3">
      <c r="A582" s="122"/>
      <c r="B582" s="122"/>
      <c r="C582" s="122"/>
    </row>
    <row r="583" spans="1:3">
      <c r="A583" s="122"/>
      <c r="B583" s="122"/>
      <c r="C583" s="122"/>
    </row>
    <row r="584" spans="1:3">
      <c r="A584" s="122"/>
      <c r="B584" s="122"/>
      <c r="C584" s="122"/>
    </row>
    <row r="585" spans="1:3">
      <c r="A585" s="122"/>
      <c r="B585" s="122"/>
      <c r="C585" s="122"/>
    </row>
    <row r="586" spans="1:3">
      <c r="A586" s="122"/>
      <c r="B586" s="122"/>
      <c r="C586" s="122"/>
    </row>
    <row r="587" spans="1:3">
      <c r="A587" s="122"/>
      <c r="B587" s="122"/>
      <c r="C587" s="122"/>
    </row>
    <row r="588" spans="1:3">
      <c r="A588" s="122"/>
      <c r="B588" s="122"/>
      <c r="C588" s="122"/>
    </row>
    <row r="589" spans="1:3">
      <c r="A589" s="122"/>
      <c r="B589" s="122"/>
      <c r="C589" s="122"/>
    </row>
    <row r="590" spans="1:3">
      <c r="A590" s="122"/>
      <c r="B590" s="122"/>
      <c r="C590" s="122"/>
    </row>
    <row r="591" spans="1:3">
      <c r="A591" s="122"/>
      <c r="B591" s="122"/>
      <c r="C591" s="122"/>
    </row>
    <row r="592" spans="1:3">
      <c r="A592" s="122"/>
      <c r="B592" s="122"/>
      <c r="C592" s="122"/>
    </row>
    <row r="593" spans="1:3">
      <c r="A593" s="122"/>
      <c r="B593" s="122"/>
      <c r="C593" s="122"/>
    </row>
    <row r="594" spans="1:3">
      <c r="A594" s="122"/>
      <c r="B594" s="122"/>
      <c r="C594" s="122"/>
    </row>
    <row r="595" spans="1:3">
      <c r="A595" s="122"/>
      <c r="B595" s="122"/>
      <c r="C595" s="122"/>
    </row>
    <row r="596" spans="1:3">
      <c r="A596" s="122"/>
      <c r="B596" s="122"/>
      <c r="C596" s="122"/>
    </row>
    <row r="597" spans="1:3">
      <c r="A597" s="122"/>
      <c r="B597" s="122"/>
      <c r="C597" s="122"/>
    </row>
    <row r="598" spans="1:3">
      <c r="A598" s="122"/>
      <c r="B598" s="122"/>
      <c r="C598" s="122"/>
    </row>
    <row r="599" spans="1:3">
      <c r="A599" s="122"/>
      <c r="B599" s="122"/>
      <c r="C599" s="122"/>
    </row>
    <row r="600" spans="1:3">
      <c r="A600" s="122"/>
      <c r="B600" s="122"/>
      <c r="C600" s="122"/>
    </row>
    <row r="601" spans="1:3">
      <c r="A601" s="122"/>
      <c r="B601" s="122"/>
      <c r="C601" s="122"/>
    </row>
    <row r="602" spans="1:3">
      <c r="A602" s="122"/>
      <c r="B602" s="122"/>
      <c r="C602" s="122"/>
    </row>
    <row r="603" spans="1:3">
      <c r="A603" s="122"/>
      <c r="B603" s="122"/>
      <c r="C603" s="122"/>
    </row>
    <row r="604" spans="1:3">
      <c r="A604" s="122"/>
      <c r="B604" s="122"/>
      <c r="C604" s="122"/>
    </row>
    <row r="605" spans="1:3">
      <c r="A605" s="122"/>
      <c r="B605" s="122"/>
      <c r="C605" s="122"/>
    </row>
    <row r="606" spans="1:3">
      <c r="A606" s="122"/>
      <c r="B606" s="122"/>
      <c r="C606" s="122"/>
    </row>
    <row r="607" spans="1:3">
      <c r="A607" s="122"/>
      <c r="B607" s="122"/>
      <c r="C607" s="122"/>
    </row>
    <row r="608" spans="1:3">
      <c r="A608" s="122"/>
      <c r="B608" s="122"/>
      <c r="C608" s="122"/>
    </row>
    <row r="609" spans="1:3">
      <c r="A609" s="122"/>
      <c r="B609" s="122"/>
      <c r="C609" s="122"/>
    </row>
    <row r="610" spans="1:3">
      <c r="A610" s="122"/>
      <c r="B610" s="122"/>
      <c r="C610" s="122"/>
    </row>
    <row r="611" spans="1:3">
      <c r="A611" s="122"/>
      <c r="B611" s="122"/>
      <c r="C611" s="122"/>
    </row>
    <row r="612" spans="1:3">
      <c r="A612" s="122"/>
      <c r="B612" s="122"/>
      <c r="C612" s="122"/>
    </row>
    <row r="613" spans="1:3">
      <c r="A613" s="122"/>
      <c r="B613" s="122"/>
      <c r="C613" s="122"/>
    </row>
    <row r="614" spans="1:3">
      <c r="A614" s="122"/>
      <c r="B614" s="122"/>
      <c r="C614" s="122"/>
    </row>
    <row r="615" spans="1:3">
      <c r="A615" s="122"/>
      <c r="B615" s="122"/>
      <c r="C615" s="122"/>
    </row>
    <row r="616" spans="1:3">
      <c r="A616" s="122"/>
      <c r="B616" s="122"/>
      <c r="C616" s="122"/>
    </row>
    <row r="617" spans="1:3">
      <c r="A617" s="122"/>
      <c r="B617" s="122"/>
      <c r="C617" s="122"/>
    </row>
    <row r="618" spans="1:3">
      <c r="A618" s="122"/>
      <c r="B618" s="122"/>
      <c r="C618" s="122"/>
    </row>
    <row r="619" spans="1:3">
      <c r="A619" s="122"/>
      <c r="B619" s="122"/>
      <c r="C619" s="122"/>
    </row>
    <row r="620" spans="1:3">
      <c r="A620" s="122"/>
      <c r="B620" s="122"/>
      <c r="C620" s="122"/>
    </row>
    <row r="621" spans="1:3">
      <c r="A621" s="122"/>
      <c r="B621" s="122"/>
      <c r="C621" s="122"/>
    </row>
    <row r="622" spans="1:3">
      <c r="A622" s="122"/>
      <c r="B622" s="122"/>
      <c r="C622" s="122"/>
    </row>
    <row r="623" spans="1:3">
      <c r="A623" s="122"/>
      <c r="B623" s="122"/>
      <c r="C623" s="122"/>
    </row>
    <row r="624" spans="1:3">
      <c r="A624" s="122"/>
      <c r="B624" s="122"/>
      <c r="C624" s="122"/>
    </row>
    <row r="625" spans="1:3">
      <c r="A625" s="122"/>
      <c r="B625" s="122"/>
      <c r="C625" s="122"/>
    </row>
    <row r="626" spans="1:3">
      <c r="A626" s="122"/>
      <c r="B626" s="122"/>
      <c r="C626" s="122"/>
    </row>
    <row r="627" spans="1:3">
      <c r="A627" s="122"/>
      <c r="B627" s="122"/>
      <c r="C627" s="122"/>
    </row>
    <row r="628" spans="1:3">
      <c r="A628" s="122"/>
      <c r="B628" s="122"/>
      <c r="C628" s="122"/>
    </row>
    <row r="629" spans="1:3">
      <c r="A629" s="122"/>
      <c r="B629" s="122"/>
      <c r="C629" s="122"/>
    </row>
    <row r="630" spans="1:3">
      <c r="A630" s="122"/>
      <c r="B630" s="122"/>
      <c r="C630" s="122"/>
    </row>
    <row r="631" spans="1:3">
      <c r="A631" s="122"/>
      <c r="B631" s="122"/>
      <c r="C631" s="122"/>
    </row>
    <row r="632" spans="1:3">
      <c r="A632" s="122"/>
      <c r="B632" s="122"/>
      <c r="C632" s="122"/>
    </row>
    <row r="633" spans="1:3">
      <c r="A633" s="122"/>
      <c r="B633" s="122"/>
      <c r="C633" s="122"/>
    </row>
    <row r="634" spans="1:3">
      <c r="A634" s="122"/>
      <c r="B634" s="122"/>
      <c r="C634" s="122"/>
    </row>
    <row r="635" spans="1:3">
      <c r="A635" s="122"/>
      <c r="B635" s="122"/>
      <c r="C635" s="122"/>
    </row>
    <row r="636" spans="1:3">
      <c r="A636" s="122"/>
      <c r="B636" s="122"/>
      <c r="C636" s="122"/>
    </row>
    <row r="637" spans="1:3">
      <c r="A637" s="122"/>
      <c r="B637" s="122"/>
      <c r="C637" s="122"/>
    </row>
    <row r="638" spans="1:3">
      <c r="A638" s="122"/>
      <c r="B638" s="122"/>
      <c r="C638" s="122"/>
    </row>
    <row r="639" spans="1:3">
      <c r="A639" s="122"/>
      <c r="B639" s="122"/>
      <c r="C639" s="122"/>
    </row>
  </sheetData>
  <sheetProtection password="95C1" sheet="1" objects="1" scenarios="1"/>
  <dataConsolidate/>
  <customSheetViews>
    <customSheetView guid="{CCA592C6-FA5B-4C3F-AAFD-7D399E08D11C}" scale="80" showPageBreaks="1" fitToPage="1" printArea="1" hiddenRows="1" hiddenColumns="1" topLeftCell="A3">
      <selection activeCell="F24" sqref="F24"/>
      <colBreaks count="1" manualBreakCount="1">
        <brk id="8" max="1048575" man="1"/>
      </colBreaks>
      <pageMargins left="0.5" right="0.3" top="0.7" bottom="0.7" header="0.5" footer="0.5"/>
      <pageSetup paperSize="9" scale="70" orientation="portrait" r:id="rId1"/>
      <headerFooter alignWithMargins="0">
        <oddHeader>&amp;A</oddHeader>
        <oddFooter>Side &amp;P</oddFooter>
      </headerFooter>
    </customSheetView>
  </customSheetViews>
  <mergeCells count="2">
    <mergeCell ref="E3:F3"/>
    <mergeCell ref="G3:H3"/>
  </mergeCells>
  <phoneticPr fontId="0" type="noConversion"/>
  <dataValidations count="2">
    <dataValidation type="list" allowBlank="1" showInputMessage="1" showErrorMessage="1" sqref="B7:B8">
      <formula1>"Ja,Nei"</formula1>
    </dataValidation>
    <dataValidation type="list" allowBlank="1" showInputMessage="1" showErrorMessage="1" sqref="B4">
      <formula1>"1,2,3,4,5,6,7"</formula1>
    </dataValidation>
  </dataValidations>
  <pageMargins left="0.5" right="0.3" top="0.7" bottom="0.7" header="0.5" footer="0.5"/>
  <pageSetup paperSize="9" scale="59" orientation="portrait" r:id="rId2"/>
  <headerFooter alignWithMargins="0">
    <oddHeader>&amp;A</oddHeader>
    <oddFooter>Side &amp;P</oddFooter>
  </headerFooter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6:D61"/>
  <sheetViews>
    <sheetView workbookViewId="0">
      <selection activeCell="E129" sqref="E129"/>
    </sheetView>
  </sheetViews>
  <sheetFormatPr baseColWidth="10" defaultRowHeight="12.75"/>
  <sheetData>
    <row r="6" spans="2:4" ht="15">
      <c r="B6" s="206" t="s">
        <v>145</v>
      </c>
      <c r="C6" s="266"/>
      <c r="D6" s="203" t="s">
        <v>3</v>
      </c>
    </row>
    <row r="7" spans="2:4" ht="15">
      <c r="B7" s="206" t="s">
        <v>143</v>
      </c>
      <c r="C7" s="260"/>
      <c r="D7" s="203" t="s">
        <v>3</v>
      </c>
    </row>
    <row r="8" spans="2:4" ht="15">
      <c r="B8" s="206" t="s">
        <v>51</v>
      </c>
      <c r="C8" s="266"/>
      <c r="D8" s="203" t="s">
        <v>3</v>
      </c>
    </row>
    <row r="9" spans="2:4" ht="15">
      <c r="B9" s="206" t="s">
        <v>50</v>
      </c>
      <c r="C9" s="266"/>
      <c r="D9" s="203" t="s">
        <v>3</v>
      </c>
    </row>
    <row r="10" spans="2:4" ht="15">
      <c r="B10" s="206" t="s">
        <v>4</v>
      </c>
      <c r="C10" s="265"/>
      <c r="D10" s="203" t="s">
        <v>5</v>
      </c>
    </row>
    <row r="11" spans="2:4" ht="15">
      <c r="B11" s="206" t="s">
        <v>190</v>
      </c>
      <c r="C11" s="265"/>
      <c r="D11" s="203" t="s">
        <v>5</v>
      </c>
    </row>
    <row r="12" spans="2:4" ht="15">
      <c r="B12" s="206" t="s">
        <v>6</v>
      </c>
      <c r="C12" s="265"/>
      <c r="D12" s="203" t="s">
        <v>5</v>
      </c>
    </row>
    <row r="13" spans="2:4" ht="15">
      <c r="B13" s="206" t="s">
        <v>65</v>
      </c>
      <c r="C13" s="265"/>
      <c r="D13" s="203" t="s">
        <v>5</v>
      </c>
    </row>
    <row r="14" spans="2:4" ht="15">
      <c r="B14" s="206" t="s">
        <v>171</v>
      </c>
      <c r="C14" s="265"/>
      <c r="D14" s="203" t="s">
        <v>5</v>
      </c>
    </row>
    <row r="15" spans="2:4" ht="15">
      <c r="B15" s="206" t="s">
        <v>237</v>
      </c>
      <c r="C15" s="265"/>
      <c r="D15" s="203" t="s">
        <v>5</v>
      </c>
    </row>
    <row r="16" spans="2:4" ht="15">
      <c r="B16" s="206" t="s">
        <v>220</v>
      </c>
      <c r="C16" s="265"/>
      <c r="D16" s="203" t="s">
        <v>5</v>
      </c>
    </row>
    <row r="17" spans="2:4" ht="15">
      <c r="B17" s="201" t="s">
        <v>133</v>
      </c>
      <c r="C17" s="213"/>
      <c r="D17" s="203"/>
    </row>
    <row r="18" spans="2:4" ht="15">
      <c r="B18" s="206" t="s">
        <v>163</v>
      </c>
      <c r="C18" s="260"/>
      <c r="D18" s="203" t="s">
        <v>5</v>
      </c>
    </row>
    <row r="19" spans="2:4" ht="15">
      <c r="B19" s="207" t="s">
        <v>164</v>
      </c>
      <c r="C19" s="208"/>
      <c r="D19" s="205" t="s">
        <v>5</v>
      </c>
    </row>
    <row r="20" spans="2:4" ht="15">
      <c r="B20" s="206" t="s">
        <v>194</v>
      </c>
      <c r="C20" s="260"/>
      <c r="D20" s="203" t="s">
        <v>59</v>
      </c>
    </row>
    <row r="21" spans="2:4" ht="15">
      <c r="B21" s="207" t="s">
        <v>128</v>
      </c>
      <c r="C21" s="276"/>
      <c r="D21" s="205" t="s">
        <v>5</v>
      </c>
    </row>
    <row r="22" spans="2:4" ht="15">
      <c r="B22" s="270" t="s">
        <v>152</v>
      </c>
      <c r="C22" s="212"/>
      <c r="D22" s="273" t="s">
        <v>2</v>
      </c>
    </row>
    <row r="23" spans="2:4" ht="15">
      <c r="B23" s="201" t="s">
        <v>161</v>
      </c>
      <c r="C23" s="202"/>
      <c r="D23" s="203"/>
    </row>
    <row r="24" spans="2:4" ht="15">
      <c r="B24" s="201" t="s">
        <v>205</v>
      </c>
      <c r="C24" s="202" t="s">
        <v>236</v>
      </c>
      <c r="D24" s="203"/>
    </row>
    <row r="25" spans="2:4" ht="15">
      <c r="B25" s="204" t="s">
        <v>160</v>
      </c>
      <c r="C25" s="250"/>
      <c r="D25" s="205"/>
    </row>
    <row r="29" spans="2:4">
      <c r="B29" s="166"/>
      <c r="C29" s="166"/>
      <c r="D29" s="166"/>
    </row>
    <row r="30" spans="2:4">
      <c r="B30" s="166"/>
      <c r="C30" s="166"/>
      <c r="D30" s="166"/>
    </row>
    <row r="31" spans="2:4">
      <c r="B31" s="166"/>
      <c r="C31" s="166"/>
      <c r="D31" s="166"/>
    </row>
    <row r="32" spans="2:4" ht="15.75" thickBot="1">
      <c r="B32" s="279" t="s">
        <v>277</v>
      </c>
      <c r="C32" s="280"/>
      <c r="D32" s="281"/>
    </row>
    <row r="33" spans="2:4">
      <c r="B33" s="274"/>
      <c r="C33" s="274"/>
      <c r="D33" s="274"/>
    </row>
    <row r="34" spans="2:4">
      <c r="B34" s="274"/>
      <c r="C34" s="274"/>
      <c r="D34" s="274"/>
    </row>
    <row r="35" spans="2:4">
      <c r="B35" s="274"/>
      <c r="C35" s="274"/>
      <c r="D35" s="274"/>
    </row>
    <row r="36" spans="2:4">
      <c r="B36" s="274"/>
      <c r="C36" s="274"/>
      <c r="D36" s="274"/>
    </row>
    <row r="37" spans="2:4">
      <c r="B37" s="274"/>
      <c r="C37" s="274"/>
      <c r="D37" s="274"/>
    </row>
    <row r="38" spans="2:4">
      <c r="B38" s="274"/>
      <c r="C38" s="274"/>
      <c r="D38" s="274"/>
    </row>
    <row r="39" spans="2:4">
      <c r="B39" s="166"/>
      <c r="C39" s="166"/>
      <c r="D39" s="166"/>
    </row>
    <row r="40" spans="2:4" ht="15">
      <c r="B40" s="206" t="s">
        <v>145</v>
      </c>
      <c r="C40" s="266"/>
      <c r="D40" s="203" t="s">
        <v>3</v>
      </c>
    </row>
    <row r="41" spans="2:4" ht="15">
      <c r="B41" s="206" t="s">
        <v>143</v>
      </c>
      <c r="C41" s="260"/>
      <c r="D41" s="203" t="s">
        <v>3</v>
      </c>
    </row>
    <row r="42" spans="2:4" ht="15">
      <c r="B42" s="206" t="s">
        <v>51</v>
      </c>
      <c r="C42" s="266"/>
      <c r="D42" s="203" t="s">
        <v>3</v>
      </c>
    </row>
    <row r="43" spans="2:4" ht="15">
      <c r="B43" s="206" t="s">
        <v>50</v>
      </c>
      <c r="C43" s="266"/>
      <c r="D43" s="203" t="s">
        <v>3</v>
      </c>
    </row>
    <row r="44" spans="2:4">
      <c r="B44" s="166"/>
      <c r="C44" s="166"/>
      <c r="D44" s="166"/>
    </row>
    <row r="45" spans="2:4">
      <c r="B45" s="166"/>
      <c r="C45" s="166"/>
      <c r="D45" s="166"/>
    </row>
    <row r="46" spans="2:4">
      <c r="B46" s="166"/>
      <c r="C46" s="166"/>
      <c r="D46" s="166"/>
    </row>
    <row r="47" spans="2:4">
      <c r="B47" s="166"/>
      <c r="C47" s="166"/>
      <c r="D47" s="166"/>
    </row>
    <row r="48" spans="2:4">
      <c r="B48" s="166"/>
      <c r="C48" s="166"/>
      <c r="D48" s="166"/>
    </row>
    <row r="49" spans="2:4" ht="15">
      <c r="B49" s="206" t="s">
        <v>237</v>
      </c>
      <c r="C49" s="265"/>
      <c r="D49" s="203" t="s">
        <v>5</v>
      </c>
    </row>
    <row r="50" spans="2:4" ht="15">
      <c r="B50" s="206" t="s">
        <v>220</v>
      </c>
      <c r="C50" s="265"/>
      <c r="D50" s="203" t="s">
        <v>5</v>
      </c>
    </row>
    <row r="51" spans="2:4" ht="15">
      <c r="B51" s="201" t="s">
        <v>133</v>
      </c>
      <c r="C51" s="213"/>
      <c r="D51" s="203"/>
    </row>
    <row r="52" spans="2:4" ht="15">
      <c r="B52" s="206" t="s">
        <v>163</v>
      </c>
      <c r="C52" s="260"/>
      <c r="D52" s="203" t="s">
        <v>5</v>
      </c>
    </row>
    <row r="53" spans="2:4" ht="15">
      <c r="B53" s="207" t="s">
        <v>164</v>
      </c>
      <c r="C53" s="208"/>
      <c r="D53" s="205" t="s">
        <v>5</v>
      </c>
    </row>
    <row r="54" spans="2:4" ht="15">
      <c r="B54" s="206" t="s">
        <v>194</v>
      </c>
      <c r="C54" s="260"/>
      <c r="D54" s="203" t="s">
        <v>59</v>
      </c>
    </row>
    <row r="55" spans="2:4" ht="15">
      <c r="B55" s="207" t="s">
        <v>128</v>
      </c>
      <c r="C55" s="276"/>
      <c r="D55" s="205" t="s">
        <v>5</v>
      </c>
    </row>
    <row r="56" spans="2:4" ht="15">
      <c r="B56" s="270" t="s">
        <v>152</v>
      </c>
      <c r="C56" s="212"/>
      <c r="D56" s="273" t="s">
        <v>2</v>
      </c>
    </row>
    <row r="57" spans="2:4" ht="15">
      <c r="B57" s="201" t="s">
        <v>161</v>
      </c>
      <c r="C57" s="202"/>
      <c r="D57" s="203"/>
    </row>
    <row r="58" spans="2:4" ht="15">
      <c r="B58" s="201" t="s">
        <v>205</v>
      </c>
      <c r="C58" s="202" t="s">
        <v>236</v>
      </c>
      <c r="D58" s="203"/>
    </row>
    <row r="59" spans="2:4" ht="15">
      <c r="B59" s="204" t="s">
        <v>160</v>
      </c>
      <c r="C59" s="250"/>
      <c r="D59" s="205"/>
    </row>
    <row r="60" spans="2:4">
      <c r="B60" s="274"/>
      <c r="C60" s="274"/>
      <c r="D60" s="274"/>
    </row>
    <row r="61" spans="2:4">
      <c r="B61" s="274"/>
      <c r="C61" s="274"/>
      <c r="D61" s="274"/>
    </row>
  </sheetData>
  <dataValidations count="3">
    <dataValidation type="list" allowBlank="1" showInputMessage="1" showErrorMessage="1" sqref="C23 C57">
      <formula1>"a,b,c,d,e,f,g,h,i,j,"</formula1>
    </dataValidation>
    <dataValidation type="list" allowBlank="1" showInputMessage="1" showErrorMessage="1" sqref="C24 C58">
      <formula1>"Ja,Nei"</formula1>
    </dataValidation>
    <dataValidation type="list" allowBlank="1" showInputMessage="1" showErrorMessage="1" sqref="C25 C59">
      <formula1>"1,2,3,4,5,"</formula1>
    </dataValidation>
  </dataValidation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29" sqref="E129"/>
    </sheetView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AH306"/>
  <sheetViews>
    <sheetView topLeftCell="B107" workbookViewId="0">
      <selection activeCell="E129" sqref="E129"/>
    </sheetView>
  </sheetViews>
  <sheetFormatPr baseColWidth="10" defaultColWidth="9.140625" defaultRowHeight="12.75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</row>
    <row r="2" spans="1:17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17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  <c r="K3" s="3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95">
        <v>7</v>
      </c>
    </row>
    <row r="4" spans="1:17">
      <c r="A4" s="73" t="s">
        <v>47</v>
      </c>
      <c r="B4" s="217" t="s">
        <v>206</v>
      </c>
      <c r="C4" s="34">
        <v>0</v>
      </c>
      <c r="D4" s="34">
        <v>0</v>
      </c>
      <c r="E4" s="34">
        <v>0</v>
      </c>
      <c r="F4" s="34">
        <v>0</v>
      </c>
      <c r="G4" s="174">
        <v>0</v>
      </c>
      <c r="H4" s="174">
        <v>4</v>
      </c>
      <c r="I4" s="175">
        <v>0</v>
      </c>
      <c r="J4" s="185" t="s">
        <v>251</v>
      </c>
      <c r="K4" s="174">
        <v>75</v>
      </c>
      <c r="L4" s="174">
        <v>0</v>
      </c>
      <c r="M4" s="174">
        <v>110</v>
      </c>
      <c r="N4" s="174">
        <v>110</v>
      </c>
      <c r="O4" s="174">
        <v>210</v>
      </c>
      <c r="P4" s="174">
        <v>236</v>
      </c>
      <c r="Q4" s="174">
        <v>286</v>
      </c>
    </row>
    <row r="5" spans="1:17">
      <c r="A5" s="73"/>
      <c r="B5" s="188" t="s">
        <v>207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4</v>
      </c>
      <c r="I5" s="98">
        <v>0</v>
      </c>
      <c r="J5" s="185" t="s">
        <v>252</v>
      </c>
      <c r="K5" s="35">
        <v>184</v>
      </c>
      <c r="L5" s="35">
        <v>184</v>
      </c>
      <c r="M5" s="35">
        <v>184</v>
      </c>
      <c r="N5" s="35">
        <v>184</v>
      </c>
      <c r="O5" s="35">
        <v>184</v>
      </c>
      <c r="P5" s="35">
        <v>184</v>
      </c>
      <c r="Q5" s="35">
        <v>184</v>
      </c>
    </row>
    <row r="6" spans="1:17">
      <c r="A6" s="73" t="s">
        <v>50</v>
      </c>
      <c r="B6" s="188" t="s">
        <v>227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98">
        <v>0</v>
      </c>
      <c r="J6" s="185" t="s">
        <v>158</v>
      </c>
      <c r="K6">
        <f>K4+K5</f>
        <v>259</v>
      </c>
      <c r="L6">
        <f t="shared" ref="L6:Q6" si="0">L4+L5</f>
        <v>184</v>
      </c>
      <c r="M6">
        <f t="shared" si="0"/>
        <v>294</v>
      </c>
      <c r="N6">
        <f t="shared" si="0"/>
        <v>294</v>
      </c>
      <c r="O6">
        <f t="shared" si="0"/>
        <v>394</v>
      </c>
      <c r="P6">
        <f t="shared" si="0"/>
        <v>420</v>
      </c>
      <c r="Q6">
        <f t="shared" si="0"/>
        <v>470</v>
      </c>
    </row>
    <row r="7" spans="1:17">
      <c r="A7" s="73" t="s">
        <v>48</v>
      </c>
      <c r="B7" s="217" t="s">
        <v>90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</row>
    <row r="8" spans="1:17">
      <c r="A8" s="73"/>
      <c r="B8" s="3" t="s">
        <v>92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</row>
    <row r="9" spans="1:17">
      <c r="A9" s="73" t="s">
        <v>62</v>
      </c>
      <c r="B9" s="188" t="s">
        <v>223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97">
        <v>0</v>
      </c>
    </row>
    <row r="10" spans="1:17">
      <c r="A10" s="73"/>
      <c r="B10" s="188" t="s">
        <v>224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97">
        <v>0</v>
      </c>
    </row>
    <row r="11" spans="1:17">
      <c r="A11" s="73" t="s">
        <v>145</v>
      </c>
      <c r="B11" s="188" t="s">
        <v>225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17">
      <c r="A12" s="5"/>
      <c r="B12" s="21" t="s">
        <v>87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14">
        <v>0</v>
      </c>
    </row>
    <row r="13" spans="1:17">
      <c r="A13" s="73" t="s">
        <v>143</v>
      </c>
      <c r="B13" s="21" t="s">
        <v>84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17">
      <c r="A14" s="74"/>
      <c r="B14" s="33" t="s">
        <v>87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00">
        <v>0</v>
      </c>
    </row>
    <row r="15" spans="1:17">
      <c r="A15" s="5"/>
      <c r="B15" s="21"/>
      <c r="C15" s="15"/>
      <c r="D15" s="15"/>
      <c r="E15" s="15"/>
      <c r="F15" s="15"/>
      <c r="G15" s="15"/>
      <c r="H15" s="15"/>
      <c r="I15" s="15"/>
    </row>
    <row r="16" spans="1:17">
      <c r="A16" s="1"/>
      <c r="B16" s="2"/>
      <c r="C16" s="1"/>
      <c r="D16" s="1"/>
      <c r="E16" s="1"/>
      <c r="F16" s="1"/>
      <c r="G16" s="1"/>
      <c r="H16" s="1"/>
      <c r="I16" s="1"/>
    </row>
    <row r="17" spans="1:10">
      <c r="A17" s="66"/>
      <c r="B17" s="41" t="s">
        <v>144</v>
      </c>
      <c r="C17" s="42"/>
      <c r="D17" s="42"/>
      <c r="E17" s="68"/>
      <c r="F17" s="5"/>
      <c r="G17" s="5"/>
      <c r="H17" s="1"/>
      <c r="I17" s="1"/>
    </row>
    <row r="18" spans="1:10" ht="15">
      <c r="A18" s="73" t="s">
        <v>47</v>
      </c>
      <c r="B18" s="252" t="s">
        <v>206</v>
      </c>
      <c r="C18" s="44">
        <f>IF((Satser!I18+Satser!I19*0.6)&lt;250,(Satser!I18+Satser!I19*0.6),250)</f>
        <v>0</v>
      </c>
      <c r="D18" s="44">
        <f>HLOOKUP(Utslag!B4,AKkorn2,2)</f>
        <v>0</v>
      </c>
      <c r="E18" s="80">
        <f t="shared" ref="E18:E25" si="1">C18*D18</f>
        <v>0</v>
      </c>
      <c r="F18" s="37"/>
      <c r="G18" s="5"/>
      <c r="H18" s="24" t="s">
        <v>47</v>
      </c>
      <c r="I18" s="23">
        <f>Utslag!B23</f>
        <v>0</v>
      </c>
      <c r="J18" s="25" t="s">
        <v>3</v>
      </c>
    </row>
    <row r="19" spans="1:10" ht="15">
      <c r="A19" s="73"/>
      <c r="B19" s="253" t="s">
        <v>226</v>
      </c>
      <c r="C19" s="38">
        <f>IF(C18=250,IF((I18+I19*0.6)&gt;250,(I18+I19*0.6)-250,0),0)</f>
        <v>0</v>
      </c>
      <c r="D19" s="38">
        <f>HLOOKUP(Utslag!B4,AKkorn2,3)</f>
        <v>0</v>
      </c>
      <c r="E19" s="80">
        <f t="shared" si="1"/>
        <v>0</v>
      </c>
      <c r="F19" s="37"/>
      <c r="G19" s="5"/>
      <c r="H19" s="24" t="s">
        <v>52</v>
      </c>
      <c r="I19" s="23">
        <f>Utslag!B22</f>
        <v>0</v>
      </c>
      <c r="J19" s="25" t="s">
        <v>3</v>
      </c>
    </row>
    <row r="20" spans="1:10">
      <c r="A20" s="73" t="s">
        <v>50</v>
      </c>
      <c r="B20" s="62" t="s">
        <v>89</v>
      </c>
      <c r="C20" s="254">
        <f>'Ark18'!C9</f>
        <v>0</v>
      </c>
      <c r="D20" s="44">
        <f>HLOOKUP(Utslag!B4,AKkorn2,4)</f>
        <v>0</v>
      </c>
      <c r="E20" s="80">
        <f t="shared" si="1"/>
        <v>0</v>
      </c>
      <c r="F20" s="37"/>
      <c r="G20" s="5"/>
      <c r="H20" s="1"/>
      <c r="I20" s="1"/>
    </row>
    <row r="21" spans="1:10">
      <c r="A21" s="73" t="s">
        <v>48</v>
      </c>
      <c r="B21" s="252" t="s">
        <v>90</v>
      </c>
      <c r="C21" s="44">
        <f>IF(('Ark18'!C8)&lt;800,('Ark18'!C8),800)</f>
        <v>0</v>
      </c>
      <c r="D21" s="44">
        <f>HLOOKUP(Utslag!B4,AKkorn2,5)</f>
        <v>0</v>
      </c>
      <c r="E21" s="80">
        <f t="shared" si="1"/>
        <v>0</v>
      </c>
      <c r="F21" s="37"/>
      <c r="G21" s="5"/>
      <c r="H21" s="185" t="s">
        <v>250</v>
      </c>
      <c r="I21" s="275">
        <f>I19*0.6-I19*0.6</f>
        <v>0</v>
      </c>
    </row>
    <row r="22" spans="1:10">
      <c r="A22" s="73"/>
      <c r="B22" s="5" t="s">
        <v>92</v>
      </c>
      <c r="C22" s="37">
        <f>IF(('Ark18'!C8)&lt;800,0,('Ark18'!C8)-800)</f>
        <v>0</v>
      </c>
      <c r="D22" s="37">
        <f>HLOOKUP(Utslag!B4,AKkorn2,6)</f>
        <v>0</v>
      </c>
      <c r="E22" s="80">
        <f t="shared" si="1"/>
        <v>0</v>
      </c>
      <c r="F22" s="37"/>
      <c r="G22" s="5"/>
      <c r="H22" s="185" t="s">
        <v>254</v>
      </c>
      <c r="I22">
        <f>HLOOKUP(Utslag!B4,K3:Q6,4)</f>
        <v>259</v>
      </c>
    </row>
    <row r="23" spans="1:10">
      <c r="A23" s="73" t="s">
        <v>62</v>
      </c>
      <c r="B23" s="251" t="s">
        <v>223</v>
      </c>
      <c r="C23" s="44">
        <f>IF((Utslag!B24)&lt;80,(Utslag!B24),80)</f>
        <v>0</v>
      </c>
      <c r="D23" s="44">
        <f>HLOOKUP(Utslag!B4,AKkorn2,7)</f>
        <v>0</v>
      </c>
      <c r="E23" s="80">
        <f t="shared" si="1"/>
        <v>0</v>
      </c>
      <c r="F23" s="39"/>
      <c r="G23" s="5"/>
      <c r="H23" s="185" t="s">
        <v>253</v>
      </c>
      <c r="I23">
        <f>I21*I22</f>
        <v>0</v>
      </c>
    </row>
    <row r="24" spans="1:10">
      <c r="A24" s="73"/>
      <c r="B24" s="188" t="s">
        <v>224</v>
      </c>
      <c r="C24" s="38">
        <f>IF(Utslag!B24&gt;80,Utslag!B24-80,0)</f>
        <v>0</v>
      </c>
      <c r="D24" s="44">
        <f>HLOOKUP(Utslag!B4,AKkorn2,8)</f>
        <v>0</v>
      </c>
      <c r="E24" s="80">
        <f t="shared" si="1"/>
        <v>0</v>
      </c>
      <c r="F24" s="39"/>
      <c r="G24" s="5"/>
      <c r="H24" s="1"/>
    </row>
    <row r="25" spans="1:10">
      <c r="A25" s="73" t="s">
        <v>145</v>
      </c>
      <c r="B25" s="251" t="s">
        <v>225</v>
      </c>
      <c r="C25" s="44">
        <f>IF(('Ark18'!C6)&lt;40,('Ark18'!C6),40)</f>
        <v>0</v>
      </c>
      <c r="D25" s="44">
        <f>HLOOKUP(Utslag!B4,AKkorn2,9)</f>
        <v>0</v>
      </c>
      <c r="E25" s="80">
        <f t="shared" si="1"/>
        <v>0</v>
      </c>
      <c r="F25" s="39"/>
      <c r="G25" s="5"/>
      <c r="H25" s="1"/>
    </row>
    <row r="26" spans="1:10">
      <c r="A26" s="90"/>
      <c r="B26" s="33" t="s">
        <v>87</v>
      </c>
      <c r="C26" s="38">
        <f>IF('Ark18'!C6&gt;40,'Ark18'!C6-40,0)</f>
        <v>0</v>
      </c>
      <c r="D26" s="38">
        <f>HLOOKUP(Utslag!B4,AKkorn2,10)</f>
        <v>0</v>
      </c>
      <c r="E26" s="115">
        <f>C26*D26</f>
        <v>0</v>
      </c>
      <c r="F26" s="39"/>
      <c r="G26" s="5"/>
      <c r="H26" s="1"/>
    </row>
    <row r="27" spans="1:10">
      <c r="A27" s="73" t="s">
        <v>143</v>
      </c>
      <c r="B27" s="251" t="s">
        <v>225</v>
      </c>
      <c r="C27" s="44">
        <f>IF(('Ark18'!C7)&lt;40,('Ark18'!C7),40)</f>
        <v>0</v>
      </c>
      <c r="D27" s="44">
        <f>HLOOKUP(Utslag!B4,AKkorn2,11)</f>
        <v>0</v>
      </c>
      <c r="E27" s="80">
        <f>C27*D27</f>
        <v>0</v>
      </c>
      <c r="F27" s="17"/>
      <c r="G27" s="5"/>
      <c r="H27" s="1"/>
    </row>
    <row r="28" spans="1:10">
      <c r="A28" s="90"/>
      <c r="B28" s="33" t="s">
        <v>87</v>
      </c>
      <c r="C28" s="38">
        <f>IF('Ark18'!C7&gt;40,'Ark18'!C7-40,0)</f>
        <v>0</v>
      </c>
      <c r="D28" s="38">
        <f>HLOOKUP(Utslag!B4,AKkorn2,12)</f>
        <v>0</v>
      </c>
      <c r="E28" s="115">
        <f>C28*D28</f>
        <v>0</v>
      </c>
      <c r="F28" s="17"/>
      <c r="G28" s="5"/>
      <c r="H28" s="21"/>
    </row>
    <row r="29" spans="1:10">
      <c r="A29" s="83"/>
      <c r="B29" s="96" t="s">
        <v>124</v>
      </c>
      <c r="C29" s="3"/>
      <c r="D29" s="3"/>
      <c r="E29" s="86">
        <f>SUM(E18:E28)</f>
        <v>0</v>
      </c>
      <c r="F29" s="6"/>
      <c r="G29" s="5"/>
      <c r="H29" s="5"/>
    </row>
    <row r="30" spans="1:10">
      <c r="B30" s="5"/>
      <c r="C30" s="5"/>
      <c r="D30" s="5"/>
      <c r="E30" s="5"/>
      <c r="F30" s="3"/>
      <c r="G30" s="5"/>
      <c r="H30" s="21"/>
    </row>
    <row r="31" spans="1:10">
      <c r="A31" s="1"/>
      <c r="B31" s="66"/>
      <c r="C31" s="42"/>
      <c r="D31" s="42"/>
      <c r="E31" s="67"/>
      <c r="F31" s="70"/>
      <c r="G31" s="1"/>
      <c r="H31" s="17"/>
    </row>
    <row r="33" spans="2:9">
      <c r="B33" s="78" t="s">
        <v>26</v>
      </c>
      <c r="C33" s="50"/>
      <c r="D33" s="50"/>
      <c r="E33" s="50"/>
      <c r="F33" s="50"/>
      <c r="G33" s="87"/>
    </row>
    <row r="34" spans="2:9">
      <c r="B34" s="71" t="s">
        <v>4</v>
      </c>
      <c r="C34" s="8" t="s">
        <v>27</v>
      </c>
      <c r="D34" s="8" t="s">
        <v>28</v>
      </c>
      <c r="E34" s="4" t="s">
        <v>29</v>
      </c>
      <c r="F34" s="4" t="s">
        <v>30</v>
      </c>
      <c r="G34" s="72" t="s">
        <v>31</v>
      </c>
      <c r="I34" s="161" t="s">
        <v>191</v>
      </c>
    </row>
    <row r="35" spans="2:9">
      <c r="B35" s="66" t="s">
        <v>39</v>
      </c>
      <c r="C35" s="48">
        <v>4028</v>
      </c>
      <c r="D35" s="49">
        <v>4028</v>
      </c>
      <c r="E35" s="5">
        <f>IF('Ark18'!C10&lt;17,'Ark18'!C10,16)</f>
        <v>0</v>
      </c>
      <c r="F35" s="50">
        <f>C35*E35</f>
        <v>0</v>
      </c>
      <c r="G35" s="87">
        <f>D35*E35</f>
        <v>0</v>
      </c>
      <c r="I35">
        <f>IF('Ark18'!C10&gt;0,IF('Ark18'!C10+'Ark18'!C11&lt;17,'Ark18'!C10+'Ark18'!C11,16),0)</f>
        <v>0</v>
      </c>
    </row>
    <row r="36" spans="2:9">
      <c r="B36" s="73" t="s">
        <v>24</v>
      </c>
      <c r="C36" s="51">
        <v>2072</v>
      </c>
      <c r="D36" s="52">
        <v>2072</v>
      </c>
      <c r="E36" s="5">
        <f>IF('Ark18'!C10&lt;17,0,IF('Ark18'!C10&lt;26,'Ark18'!C10-16,9))</f>
        <v>0</v>
      </c>
      <c r="F36" s="50">
        <f>C36*E36</f>
        <v>0</v>
      </c>
      <c r="G36" s="87">
        <f>D36*E36</f>
        <v>0</v>
      </c>
      <c r="I36">
        <f>IF('Ark18'!C10&gt;0,IF('Ark18'!C10+'Ark18'!C11&lt;17,0,IF('Ark18'!C10+'Ark18'!C11&lt;26,'Ark18'!C10+'Ark18'!C11-16,9)),0)</f>
        <v>0</v>
      </c>
    </row>
    <row r="37" spans="2:9">
      <c r="B37" s="74" t="s">
        <v>40</v>
      </c>
      <c r="C37" s="53">
        <v>1000</v>
      </c>
      <c r="D37" s="30">
        <v>1000</v>
      </c>
      <c r="E37" s="3">
        <f>IF('Ark18'!C10&lt;26,0,IF('Ark18'!C10&lt;51,'Ark18'!C10-25,25))</f>
        <v>0</v>
      </c>
      <c r="F37" s="50">
        <f>C37*E37</f>
        <v>0</v>
      </c>
      <c r="G37" s="87">
        <f>D37*E37</f>
        <v>0</v>
      </c>
    </row>
    <row r="38" spans="2:9">
      <c r="B38" s="245" t="s">
        <v>228</v>
      </c>
      <c r="C38" s="255">
        <v>800</v>
      </c>
      <c r="D38" s="256">
        <v>800</v>
      </c>
      <c r="E38" s="3">
        <f>IF('Ark18'!C10&lt;51,0,'Ark18'!C10-50)</f>
        <v>0</v>
      </c>
      <c r="F38" s="50">
        <f>C38*E38</f>
        <v>0</v>
      </c>
      <c r="G38" s="87">
        <f>D38*E38</f>
        <v>0</v>
      </c>
      <c r="I38">
        <f>IF('Ark18'!C10&gt;0,IF('Ark18'!C10+'Ark18'!C11&lt;26,0,IF('Ark18'!C10+'Ark18'!C11&lt;51,'Ark18'!C10+'Ark18'!C11-25,25)),0)</f>
        <v>0</v>
      </c>
    </row>
    <row r="39" spans="2:9">
      <c r="B39" s="76"/>
      <c r="C39" s="51"/>
      <c r="D39" s="52"/>
      <c r="E39" s="17"/>
      <c r="F39" s="17"/>
      <c r="G39" s="88"/>
    </row>
    <row r="40" spans="2:9">
      <c r="B40" s="78" t="s">
        <v>6</v>
      </c>
      <c r="C40" s="48"/>
      <c r="D40" s="49"/>
      <c r="E40" s="50"/>
      <c r="F40" s="50"/>
      <c r="G40" s="87"/>
    </row>
    <row r="41" spans="2:9">
      <c r="B41" s="73" t="s">
        <v>93</v>
      </c>
      <c r="C41" s="51">
        <v>800</v>
      </c>
      <c r="D41" s="52">
        <v>800</v>
      </c>
      <c r="E41" s="5">
        <f>IF('Ark18'!C12&lt;50,'Ark18'!C12,50)</f>
        <v>0</v>
      </c>
      <c r="F41" s="17">
        <f>C41*E41</f>
        <v>0</v>
      </c>
      <c r="G41" s="88">
        <f>D41*E41</f>
        <v>0</v>
      </c>
    </row>
    <row r="42" spans="2:9">
      <c r="B42" s="74" t="s">
        <v>105</v>
      </c>
      <c r="C42" s="53">
        <v>800</v>
      </c>
      <c r="D42" s="52">
        <v>800</v>
      </c>
      <c r="E42" s="3">
        <f>IF('Ark18'!C12&lt;50,0,IF('Ark18'!C12&gt;250,200,'Ark18'!C12-50))</f>
        <v>0</v>
      </c>
      <c r="F42" s="17">
        <f>C42*E42</f>
        <v>0</v>
      </c>
      <c r="G42" s="88">
        <f>D42*E42</f>
        <v>0</v>
      </c>
    </row>
    <row r="43" spans="2:9">
      <c r="B43" s="257" t="s">
        <v>229</v>
      </c>
      <c r="C43" s="51">
        <v>800</v>
      </c>
      <c r="D43" s="52">
        <v>800</v>
      </c>
      <c r="E43" s="3">
        <f>IF('Ark18'!C12&lt;250,0,IF('Ark18'!C12&lt;500,'Ark18'!C12-250,250))</f>
        <v>0</v>
      </c>
      <c r="F43" s="17">
        <f>C43*E43</f>
        <v>0</v>
      </c>
      <c r="G43" s="88">
        <f>D43*E43</f>
        <v>0</v>
      </c>
    </row>
    <row r="44" spans="2:9">
      <c r="B44" s="245" t="s">
        <v>230</v>
      </c>
      <c r="C44" s="255">
        <v>800</v>
      </c>
      <c r="D44" s="256">
        <v>800</v>
      </c>
      <c r="E44" s="3">
        <f>IF('Ark18'!C12&lt;501,0,'Ark18'!C12-500)</f>
        <v>0</v>
      </c>
      <c r="F44" s="50">
        <f>C44*E44</f>
        <v>0</v>
      </c>
      <c r="G44" s="87">
        <f>D44*E44</f>
        <v>0</v>
      </c>
    </row>
    <row r="45" spans="2:9">
      <c r="B45" s="73"/>
      <c r="C45" s="51"/>
      <c r="D45" s="52"/>
      <c r="E45" s="17"/>
      <c r="F45" s="17"/>
      <c r="G45" s="88"/>
    </row>
    <row r="46" spans="2:9">
      <c r="B46" s="78" t="s">
        <v>7</v>
      </c>
      <c r="C46" s="48"/>
      <c r="D46" s="49"/>
      <c r="E46" s="50"/>
      <c r="F46" s="50"/>
      <c r="G46" s="87"/>
    </row>
    <row r="47" spans="2:9">
      <c r="B47" s="73" t="s">
        <v>41</v>
      </c>
      <c r="C47" s="51">
        <v>1500</v>
      </c>
      <c r="D47" s="52">
        <v>1500</v>
      </c>
      <c r="E47" s="5">
        <f>IF('Ark18'!C13&lt;125,'Ark18'!C13,125)</f>
        <v>0</v>
      </c>
      <c r="F47" s="17">
        <f>C47*E47</f>
        <v>0</v>
      </c>
      <c r="G47" s="88">
        <f>D47*E47</f>
        <v>0</v>
      </c>
    </row>
    <row r="48" spans="2:9">
      <c r="B48" s="74" t="s">
        <v>42</v>
      </c>
      <c r="C48" s="53">
        <v>550</v>
      </c>
      <c r="D48" s="30">
        <v>550</v>
      </c>
      <c r="E48" s="3">
        <f>IF('Ark18'!C13&gt;250,125,IF('Ark18'!C13&gt;125,'Ark18'!C13-125,0))</f>
        <v>0</v>
      </c>
      <c r="F48" s="17">
        <f>C48*E48</f>
        <v>0</v>
      </c>
      <c r="G48" s="88">
        <f>D48*E48</f>
        <v>0</v>
      </c>
    </row>
    <row r="49" spans="2:9">
      <c r="B49" s="258" t="s">
        <v>231</v>
      </c>
      <c r="C49" s="255">
        <v>550</v>
      </c>
      <c r="D49" s="256">
        <v>550</v>
      </c>
      <c r="E49" s="3">
        <f>IF('Ark18'!C13&lt;251,0,'Ark18'!C13-250)</f>
        <v>0</v>
      </c>
      <c r="F49" s="50">
        <f>C49*E49</f>
        <v>0</v>
      </c>
      <c r="G49" s="87">
        <f>D49*E49</f>
        <v>0</v>
      </c>
    </row>
    <row r="50" spans="2:9">
      <c r="B50" s="73"/>
      <c r="C50" s="51"/>
      <c r="D50" s="52"/>
      <c r="E50" s="17"/>
      <c r="F50" s="17"/>
      <c r="G50" s="88"/>
    </row>
    <row r="51" spans="2:9">
      <c r="B51" s="78" t="s">
        <v>118</v>
      </c>
      <c r="C51" s="48"/>
      <c r="D51" s="49"/>
      <c r="E51" s="50"/>
      <c r="F51" s="50"/>
      <c r="G51" s="87"/>
    </row>
    <row r="52" spans="2:9">
      <c r="B52" s="73" t="s">
        <v>119</v>
      </c>
      <c r="C52" s="15"/>
      <c r="D52" s="170"/>
      <c r="E52" s="167">
        <f>'Ark18'!C20</f>
        <v>0</v>
      </c>
      <c r="F52" s="17">
        <f>C52*E52</f>
        <v>0</v>
      </c>
      <c r="G52" s="88">
        <f>D52*E52</f>
        <v>0</v>
      </c>
    </row>
    <row r="53" spans="2:9">
      <c r="B53" s="73" t="s">
        <v>150</v>
      </c>
      <c r="C53" s="15">
        <v>500</v>
      </c>
      <c r="D53" s="170">
        <v>500</v>
      </c>
      <c r="E53" s="17">
        <v>0</v>
      </c>
      <c r="F53" s="17">
        <f>C53*E53</f>
        <v>0</v>
      </c>
      <c r="G53" s="88">
        <f>D53*E53</f>
        <v>0</v>
      </c>
    </row>
    <row r="54" spans="2:9">
      <c r="B54" s="74" t="s">
        <v>121</v>
      </c>
      <c r="C54" s="14">
        <v>300</v>
      </c>
      <c r="D54" s="30">
        <v>300</v>
      </c>
      <c r="E54" s="9"/>
      <c r="F54" s="9"/>
      <c r="G54" s="75"/>
    </row>
    <row r="55" spans="2:9">
      <c r="B55" s="73"/>
      <c r="C55" s="15"/>
      <c r="D55" s="52"/>
      <c r="E55" s="17"/>
      <c r="F55" s="17"/>
      <c r="G55" s="88"/>
    </row>
    <row r="56" spans="2:9">
      <c r="B56" s="78" t="s">
        <v>148</v>
      </c>
      <c r="C56" s="43"/>
      <c r="D56" s="49"/>
      <c r="E56" s="50"/>
      <c r="F56" s="50"/>
      <c r="G56" s="87"/>
    </row>
    <row r="57" spans="2:9">
      <c r="B57" s="73" t="s">
        <v>93</v>
      </c>
      <c r="C57" s="15">
        <v>1000</v>
      </c>
      <c r="D57" s="52">
        <v>1000</v>
      </c>
      <c r="E57" s="5">
        <f>IF('Ark18'!$C$14&lt;50,'Ark18'!$C$14,50)</f>
        <v>0</v>
      </c>
      <c r="F57" s="17">
        <f t="shared" ref="F57:F62" si="2">C57*E57</f>
        <v>0</v>
      </c>
      <c r="G57" s="88">
        <f t="shared" ref="G57:G62" si="3">D57*E57</f>
        <v>0</v>
      </c>
    </row>
    <row r="58" spans="2:9">
      <c r="B58" s="73" t="s">
        <v>195</v>
      </c>
      <c r="C58" s="15">
        <v>1000</v>
      </c>
      <c r="D58" s="52">
        <v>1000</v>
      </c>
      <c r="E58" s="5">
        <f>IF('Ark18'!$C$14&lt;50,0,IF('Ark18'!$C$14&lt;75,'Ark18'!$C$14-50,25))</f>
        <v>0</v>
      </c>
      <c r="F58" s="17">
        <f t="shared" si="2"/>
        <v>0</v>
      </c>
      <c r="G58" s="88">
        <f t="shared" si="3"/>
        <v>0</v>
      </c>
    </row>
    <row r="59" spans="2:9">
      <c r="B59" s="73" t="s">
        <v>146</v>
      </c>
      <c r="C59" s="15">
        <v>1000</v>
      </c>
      <c r="D59" s="52">
        <v>1000</v>
      </c>
      <c r="E59" s="5">
        <f>IF('Ark18'!$C$14&lt;75,0,IF('Ark18'!$C$14&lt;100,'Ark18'!$C$14-75,25))</f>
        <v>0</v>
      </c>
      <c r="F59" s="17">
        <f t="shared" si="2"/>
        <v>0</v>
      </c>
      <c r="G59" s="88">
        <f t="shared" si="3"/>
        <v>0</v>
      </c>
    </row>
    <row r="60" spans="2:9">
      <c r="B60" s="76" t="s">
        <v>147</v>
      </c>
      <c r="C60" s="15">
        <v>250</v>
      </c>
      <c r="D60" s="52">
        <v>250</v>
      </c>
      <c r="E60" s="5">
        <f>IF('Ark18'!$C$14&lt;100,0,IF('Ark18'!$C$14&lt;200,'Ark18'!$C$14-100,100))</f>
        <v>0</v>
      </c>
      <c r="F60" s="17">
        <f t="shared" si="2"/>
        <v>0</v>
      </c>
      <c r="G60" s="88">
        <f t="shared" si="3"/>
        <v>0</v>
      </c>
    </row>
    <row r="61" spans="2:9">
      <c r="B61" s="259" t="s">
        <v>232</v>
      </c>
      <c r="C61" s="14">
        <v>250</v>
      </c>
      <c r="D61" s="52">
        <v>250</v>
      </c>
      <c r="E61" s="5">
        <f>IF('Ark18'!$C$14&lt;201,0,IF('Ark18'!$C$14&lt;301,'Ark18'!$C$14-200,200))</f>
        <v>0</v>
      </c>
      <c r="F61" s="17">
        <f t="shared" si="2"/>
        <v>0</v>
      </c>
      <c r="G61" s="88">
        <f t="shared" si="3"/>
        <v>0</v>
      </c>
    </row>
    <row r="62" spans="2:9">
      <c r="B62" s="245" t="s">
        <v>233</v>
      </c>
      <c r="C62" s="26">
        <v>250</v>
      </c>
      <c r="D62" s="256">
        <v>250</v>
      </c>
      <c r="E62" s="3">
        <f>IF('Ark18'!C14&lt;301,0,'Ark18'!C14-300)</f>
        <v>0</v>
      </c>
      <c r="F62" s="50">
        <f t="shared" si="2"/>
        <v>0</v>
      </c>
      <c r="G62" s="87">
        <f t="shared" si="3"/>
        <v>0</v>
      </c>
    </row>
    <row r="63" spans="2:9">
      <c r="B63" s="257" t="s">
        <v>237</v>
      </c>
      <c r="C63" s="15">
        <v>250</v>
      </c>
      <c r="D63" s="52">
        <v>250</v>
      </c>
      <c r="E63" s="261">
        <f>'Ark18'!C15</f>
        <v>0</v>
      </c>
      <c r="F63" s="50">
        <f t="shared" ref="F63" si="4">C63*E63</f>
        <v>0</v>
      </c>
      <c r="G63" s="87">
        <f t="shared" ref="G63" si="5">D63*E63</f>
        <v>0</v>
      </c>
    </row>
    <row r="64" spans="2:9">
      <c r="B64" s="78" t="s">
        <v>190</v>
      </c>
      <c r="C64" s="43"/>
      <c r="D64" s="49"/>
      <c r="E64" s="50"/>
      <c r="F64" s="50"/>
      <c r="G64" s="87"/>
      <c r="I64" t="s">
        <v>191</v>
      </c>
    </row>
    <row r="65" spans="2:9">
      <c r="B65" s="91" t="s">
        <v>39</v>
      </c>
      <c r="C65" s="15">
        <v>3980</v>
      </c>
      <c r="D65" s="54">
        <v>3980</v>
      </c>
      <c r="E65" s="5">
        <f>IF('Ark18'!C11&lt;17,'Ark18'!C11,16)</f>
        <v>0</v>
      </c>
      <c r="F65" s="17">
        <f>C65*E65</f>
        <v>0</v>
      </c>
      <c r="G65" s="88">
        <f>D65*E65</f>
        <v>0</v>
      </c>
      <c r="I65">
        <f>IF($I$35&gt;0,0,E65)</f>
        <v>0</v>
      </c>
    </row>
    <row r="66" spans="2:9">
      <c r="B66" s="73" t="s">
        <v>24</v>
      </c>
      <c r="C66" s="15">
        <v>3980</v>
      </c>
      <c r="D66" s="54">
        <v>3980</v>
      </c>
      <c r="E66" s="5">
        <f>IF('Ark18'!C11&lt;17,0,IF('Ark18'!C11&lt;26,'Ark18'!C11-16,9))</f>
        <v>0</v>
      </c>
      <c r="F66" s="17">
        <f>C66*E66</f>
        <v>0</v>
      </c>
      <c r="G66" s="88">
        <f>D66*E66</f>
        <v>0</v>
      </c>
      <c r="I66">
        <f>IF($I$35&gt;0,0,E66)</f>
        <v>0</v>
      </c>
    </row>
    <row r="67" spans="2:9">
      <c r="B67" s="84" t="s">
        <v>40</v>
      </c>
      <c r="C67" s="14">
        <v>3980</v>
      </c>
      <c r="D67" s="55">
        <v>3980</v>
      </c>
      <c r="E67" s="3">
        <f>IF('Ark18'!C11&lt;26,0,IF('Ark18'!C11&lt;51,'Ark18'!C11-25,25))</f>
        <v>0</v>
      </c>
      <c r="F67" s="17">
        <f>C67*E67</f>
        <v>0</v>
      </c>
      <c r="G67" s="88">
        <f>D67*E67</f>
        <v>0</v>
      </c>
    </row>
    <row r="68" spans="2:9">
      <c r="B68" s="245" t="s">
        <v>218</v>
      </c>
      <c r="C68" s="26">
        <v>800</v>
      </c>
      <c r="D68" s="246">
        <v>800</v>
      </c>
      <c r="E68" s="3">
        <f>IF('Ark18'!$C$11&lt;50,0,IF('Ark18'!$C$11&gt;50,'Ark18'!$C$11-50,0))</f>
        <v>0</v>
      </c>
      <c r="F68" s="17">
        <f>C68*E68</f>
        <v>0</v>
      </c>
      <c r="G68" s="88">
        <f>D68*E68</f>
        <v>0</v>
      </c>
      <c r="I68">
        <f>IF($I$35&gt;0,0,E67)</f>
        <v>0</v>
      </c>
    </row>
    <row r="69" spans="2:9">
      <c r="B69" s="76"/>
      <c r="C69" s="15"/>
      <c r="D69" s="54"/>
      <c r="E69" s="17"/>
      <c r="F69" s="17"/>
      <c r="G69" s="88"/>
    </row>
    <row r="70" spans="2:9">
      <c r="B70" s="78" t="s">
        <v>10</v>
      </c>
      <c r="C70" s="43"/>
      <c r="D70" s="49"/>
      <c r="E70" s="50"/>
      <c r="F70" s="50"/>
      <c r="G70" s="87"/>
    </row>
    <row r="71" spans="2:9">
      <c r="B71" s="91" t="s">
        <v>95</v>
      </c>
      <c r="C71" s="15">
        <v>915</v>
      </c>
      <c r="D71" s="52">
        <v>695</v>
      </c>
      <c r="E71" s="5">
        <f>IF(AND(Utslag!B31&lt;35,Utslag!B4&lt;6),Utslag!B31,IF(AND(Utslag!B31&lt;35,Utslag!B4&gt;5),0,IF(AND(Utslag!B31&gt;35,Utslag!B4&gt;5),0,35)))</f>
        <v>0</v>
      </c>
      <c r="F71" s="17">
        <f>C71*E71</f>
        <v>0</v>
      </c>
      <c r="G71" s="88">
        <f>D71*E71</f>
        <v>0</v>
      </c>
    </row>
    <row r="72" spans="2:9">
      <c r="B72" s="91" t="s">
        <v>96</v>
      </c>
      <c r="C72" s="15">
        <v>1202</v>
      </c>
      <c r="D72" s="52">
        <v>982</v>
      </c>
      <c r="E72" s="5">
        <f>IF(AND(Utslag!B31&lt;35,Utslag!B4&gt;5),Utslag!B31,IF(AND(Utslag!B31&lt;35,Utslag!B4&lt;6),0,IF(AND(Utslag!B4&gt;5,Utslag!B31&gt;35),35,0)))</f>
        <v>0</v>
      </c>
      <c r="F72" s="17">
        <f>C72*E72</f>
        <v>0</v>
      </c>
      <c r="G72" s="88">
        <f>D72*E72</f>
        <v>0</v>
      </c>
    </row>
    <row r="73" spans="2:9">
      <c r="B73" s="73" t="s">
        <v>99</v>
      </c>
      <c r="C73" s="15">
        <v>0</v>
      </c>
      <c r="D73" s="52">
        <v>0</v>
      </c>
      <c r="E73" s="5">
        <f>IF(Utslag!B31&lt;36,0,IF(Utslag!B31&lt;70,Utslag!B31-35,35))</f>
        <v>0</v>
      </c>
      <c r="F73" s="17">
        <f>C73*E73</f>
        <v>0</v>
      </c>
      <c r="G73" s="88">
        <f>D73*E73</f>
        <v>0</v>
      </c>
    </row>
    <row r="74" spans="2:9">
      <c r="B74" s="74" t="s">
        <v>100</v>
      </c>
      <c r="C74" s="14">
        <v>0</v>
      </c>
      <c r="D74" s="30"/>
      <c r="E74" s="3">
        <f>IF(Utslag!B31&lt;70,0,IF(Utslag!B31&gt;70,Utslag!B31-70,0))</f>
        <v>0</v>
      </c>
      <c r="F74" s="9"/>
      <c r="G74" s="75"/>
    </row>
    <row r="75" spans="2:9">
      <c r="B75" s="73"/>
      <c r="C75" s="15"/>
      <c r="D75" s="52"/>
      <c r="E75" s="17"/>
      <c r="F75" s="17"/>
      <c r="G75" s="88"/>
    </row>
    <row r="76" spans="2:9">
      <c r="B76" s="78" t="s">
        <v>11</v>
      </c>
      <c r="C76" s="43"/>
      <c r="D76" s="49"/>
      <c r="E76" s="50"/>
      <c r="F76" s="50"/>
      <c r="G76" s="87"/>
    </row>
    <row r="77" spans="2:9">
      <c r="B77" s="91" t="s">
        <v>53</v>
      </c>
      <c r="C77" s="15">
        <v>23</v>
      </c>
      <c r="D77" s="52">
        <v>18</v>
      </c>
      <c r="E77" s="17">
        <f>IF(Utslag!B32&lt;1400,Utslag!B32,1400)</f>
        <v>0</v>
      </c>
      <c r="F77" s="17">
        <f>C77*E77</f>
        <v>0</v>
      </c>
      <c r="G77" s="88">
        <f>D77*E77</f>
        <v>0</v>
      </c>
    </row>
    <row r="78" spans="2:9">
      <c r="B78" s="73" t="s">
        <v>106</v>
      </c>
      <c r="C78" s="15">
        <v>0</v>
      </c>
      <c r="D78" s="52">
        <v>0</v>
      </c>
      <c r="E78" s="17"/>
      <c r="F78" s="17">
        <f>C78*E78</f>
        <v>0</v>
      </c>
      <c r="G78" s="88">
        <f>D78*E78</f>
        <v>0</v>
      </c>
    </row>
    <row r="79" spans="2:9">
      <c r="B79" s="102" t="s">
        <v>107</v>
      </c>
      <c r="C79" s="14">
        <v>0</v>
      </c>
      <c r="D79" s="30">
        <v>0</v>
      </c>
      <c r="E79" s="9"/>
      <c r="F79" s="9">
        <f>C79*E79</f>
        <v>0</v>
      </c>
      <c r="G79" s="75">
        <f>D79*E79</f>
        <v>0</v>
      </c>
    </row>
    <row r="80" spans="2:9">
      <c r="B80" s="91"/>
      <c r="C80" s="15"/>
      <c r="D80" s="52"/>
      <c r="E80" s="17"/>
      <c r="F80" s="17"/>
      <c r="G80" s="88"/>
    </row>
    <row r="81" spans="2:10">
      <c r="B81" s="78" t="s">
        <v>12</v>
      </c>
      <c r="C81" s="43"/>
      <c r="D81" s="49"/>
      <c r="E81" s="50"/>
      <c r="F81" s="50"/>
      <c r="G81" s="87"/>
    </row>
    <row r="82" spans="2:10">
      <c r="B82" s="73" t="s">
        <v>101</v>
      </c>
      <c r="C82" s="15">
        <v>10</v>
      </c>
      <c r="D82" s="52">
        <v>10</v>
      </c>
      <c r="E82" s="3">
        <f>IF('Ark18'!$C$21&lt;1000,'Ark18'!$C$21,1000)</f>
        <v>0</v>
      </c>
      <c r="F82" s="17">
        <f t="shared" ref="F82:F87" si="6">C82*E82</f>
        <v>0</v>
      </c>
      <c r="G82" s="88">
        <f t="shared" ref="G82:G87" si="7">D82*E82</f>
        <v>0</v>
      </c>
    </row>
    <row r="83" spans="2:10">
      <c r="B83" s="73" t="s">
        <v>102</v>
      </c>
      <c r="C83" s="15">
        <v>24</v>
      </c>
      <c r="D83" s="52">
        <v>24</v>
      </c>
      <c r="E83" s="17">
        <f>IF(Utslag!B4&gt;5,E82,0)</f>
        <v>0</v>
      </c>
      <c r="F83" s="17">
        <f t="shared" si="6"/>
        <v>0</v>
      </c>
      <c r="G83" s="88">
        <f t="shared" si="7"/>
        <v>0</v>
      </c>
    </row>
    <row r="84" spans="2:10">
      <c r="B84" s="76" t="s">
        <v>103</v>
      </c>
      <c r="C84" s="15">
        <v>10</v>
      </c>
      <c r="D84" s="52">
        <v>10</v>
      </c>
      <c r="E84" s="17">
        <f>IF('Ark18'!C21&lt;5000,'Ark18'!C21,4000)</f>
        <v>0</v>
      </c>
      <c r="F84" s="17">
        <f t="shared" si="6"/>
        <v>0</v>
      </c>
      <c r="G84" s="88">
        <f t="shared" si="7"/>
        <v>0</v>
      </c>
    </row>
    <row r="85" spans="2:10">
      <c r="B85" s="76" t="s">
        <v>104</v>
      </c>
      <c r="C85" s="15">
        <v>0</v>
      </c>
      <c r="D85" s="52">
        <v>0</v>
      </c>
      <c r="E85" s="15">
        <v>0</v>
      </c>
      <c r="F85" s="17">
        <f t="shared" si="6"/>
        <v>0</v>
      </c>
      <c r="G85" s="88">
        <f t="shared" si="7"/>
        <v>0</v>
      </c>
    </row>
    <row r="86" spans="2:10">
      <c r="B86" s="84" t="s">
        <v>108</v>
      </c>
      <c r="C86" s="14">
        <v>0</v>
      </c>
      <c r="D86" s="30">
        <v>0</v>
      </c>
      <c r="E86" s="14">
        <v>0</v>
      </c>
      <c r="F86" s="9">
        <f t="shared" si="6"/>
        <v>0</v>
      </c>
      <c r="G86" s="75">
        <f t="shared" si="7"/>
        <v>0</v>
      </c>
    </row>
    <row r="87" spans="2:10">
      <c r="B87" s="103" t="s">
        <v>220</v>
      </c>
      <c r="C87" s="56">
        <v>210</v>
      </c>
      <c r="D87" s="57">
        <v>210</v>
      </c>
      <c r="E87" s="247">
        <f>'Ark18'!C16</f>
        <v>0</v>
      </c>
      <c r="F87" s="58">
        <f t="shared" si="6"/>
        <v>0</v>
      </c>
      <c r="G87" s="104">
        <f t="shared" si="7"/>
        <v>0</v>
      </c>
    </row>
    <row r="88" spans="2:10">
      <c r="B88" s="73"/>
      <c r="C88" s="15"/>
      <c r="D88" s="52"/>
      <c r="E88" s="17"/>
      <c r="F88" s="17"/>
      <c r="G88" s="88"/>
    </row>
    <row r="89" spans="2:10">
      <c r="B89" s="103" t="s">
        <v>109</v>
      </c>
      <c r="C89" s="56">
        <v>1000</v>
      </c>
      <c r="D89" s="57">
        <v>0</v>
      </c>
      <c r="E89" s="56">
        <v>0</v>
      </c>
      <c r="F89" s="58">
        <f>C89*E89</f>
        <v>0</v>
      </c>
      <c r="G89" s="104">
        <f>D89*E89</f>
        <v>0</v>
      </c>
    </row>
    <row r="90" spans="2:10">
      <c r="B90" s="69"/>
      <c r="C90" s="15"/>
      <c r="D90" s="52"/>
      <c r="E90" s="15"/>
      <c r="F90" s="17"/>
      <c r="G90" s="88"/>
    </row>
    <row r="91" spans="2:10">
      <c r="B91" s="69"/>
      <c r="C91" s="15"/>
      <c r="D91" s="52"/>
      <c r="E91" s="15"/>
      <c r="F91" s="17"/>
      <c r="G91" s="88"/>
    </row>
    <row r="92" spans="2:10">
      <c r="B92" s="69"/>
      <c r="C92" s="17"/>
      <c r="D92" s="17"/>
      <c r="E92" s="17"/>
      <c r="F92" s="59">
        <f>SUM(F35:F89)</f>
        <v>0</v>
      </c>
      <c r="G92" s="105">
        <f>SUM(G35:G89)</f>
        <v>0</v>
      </c>
    </row>
    <row r="93" spans="2:10">
      <c r="B93" s="74" t="s">
        <v>32</v>
      </c>
      <c r="C93" s="106">
        <v>560000</v>
      </c>
      <c r="D93" s="106">
        <v>560000</v>
      </c>
      <c r="E93" s="9"/>
      <c r="F93" s="9" t="s">
        <v>33</v>
      </c>
      <c r="G93" s="75" t="s">
        <v>34</v>
      </c>
      <c r="H93" s="5" t="s">
        <v>32</v>
      </c>
      <c r="I93" s="12">
        <v>280000</v>
      </c>
      <c r="J93" s="106">
        <v>560000</v>
      </c>
    </row>
    <row r="94" spans="2:10">
      <c r="B94" s="5" t="s">
        <v>193</v>
      </c>
      <c r="F94" s="168">
        <f>IF(F92&gt;C93,C93,F92)</f>
        <v>0</v>
      </c>
      <c r="G94" s="168">
        <f>IF(G92&gt;D93,D93,G92)</f>
        <v>0</v>
      </c>
      <c r="H94" s="5" t="s">
        <v>58</v>
      </c>
    </row>
    <row r="95" spans="2:10">
      <c r="B95" s="3"/>
      <c r="F95" s="11"/>
      <c r="G95" s="11"/>
      <c r="H95" s="3"/>
    </row>
    <row r="96" spans="2:10">
      <c r="B96">
        <v>1</v>
      </c>
      <c r="C96" s="13">
        <f>IF(AND(F92&lt;$C$93,G92&lt;$D$93),0,0)</f>
        <v>0</v>
      </c>
      <c r="H96">
        <v>1</v>
      </c>
      <c r="I96" s="13">
        <f>IF(AND(F92&lt;$I$93,G92&lt;$J$93),0,0)</f>
        <v>0</v>
      </c>
    </row>
    <row r="97" spans="2:10">
      <c r="B97">
        <v>2</v>
      </c>
      <c r="C97">
        <f>IF(AND(F92&lt;C93,G92&gt;D93),(D93-F92),0)</f>
        <v>0</v>
      </c>
      <c r="D97" t="s">
        <v>35</v>
      </c>
      <c r="H97">
        <v>2</v>
      </c>
      <c r="I97">
        <f>IF(AND(F92&lt;I93,G92&gt;J93),(J93-F92),0)</f>
        <v>0</v>
      </c>
      <c r="J97" t="s">
        <v>35</v>
      </c>
    </row>
    <row r="98" spans="2:10">
      <c r="B98">
        <v>3</v>
      </c>
      <c r="C98">
        <f>IF(AND(F92&gt;C93,G92&gt;D93),(D93-C93),0)</f>
        <v>0</v>
      </c>
      <c r="D98" t="s">
        <v>36</v>
      </c>
      <c r="H98">
        <v>3</v>
      </c>
      <c r="I98" s="32">
        <f>IF(AND(F92&gt;I93,G92&gt;J93),(J93-I93),0)</f>
        <v>0</v>
      </c>
      <c r="J98" t="s">
        <v>36</v>
      </c>
    </row>
    <row r="99" spans="2:10">
      <c r="B99" s="9">
        <v>4</v>
      </c>
      <c r="C99" s="9">
        <f>IF(AND(F92&gt;C93,G92&lt;D93),(G92-$C$93),0)</f>
        <v>0</v>
      </c>
      <c r="D99" t="s">
        <v>37</v>
      </c>
      <c r="H99" s="9">
        <v>4</v>
      </c>
      <c r="I99" s="9">
        <f>IF(AND(F92&gt;I93,G92&lt;J93),(G92-I93),0)</f>
        <v>0</v>
      </c>
      <c r="J99" t="s">
        <v>37</v>
      </c>
    </row>
    <row r="100" spans="2:10">
      <c r="C100" s="2">
        <f>SUM(C96:C99)</f>
        <v>0</v>
      </c>
      <c r="I100" s="20">
        <f>SUM(I96:I99)</f>
        <v>0</v>
      </c>
    </row>
    <row r="101" spans="2:10">
      <c r="C101" s="2"/>
      <c r="I101" s="20"/>
    </row>
    <row r="102" spans="2:10">
      <c r="B102" s="185" t="s">
        <v>237</v>
      </c>
      <c r="C102" s="2">
        <f>'Ark18'!C15*-210</f>
        <v>0</v>
      </c>
      <c r="D102">
        <f>IF(('Ark18'!C14+'Ark18'!C15)&lt;101,800*'Ark18'!C15,250*'Ark18'!C15)</f>
        <v>0</v>
      </c>
      <c r="E102">
        <f>D102+C102</f>
        <v>0</v>
      </c>
      <c r="I102" s="20"/>
    </row>
    <row r="103" spans="2:10">
      <c r="B103" s="16"/>
      <c r="C103" s="17"/>
      <c r="D103" s="17"/>
      <c r="E103" s="17"/>
      <c r="F103" s="17"/>
      <c r="G103" s="17"/>
      <c r="H103" s="17"/>
      <c r="I103" s="17"/>
    </row>
    <row r="104" spans="2:10" ht="14.25">
      <c r="B104" s="29" t="s">
        <v>127</v>
      </c>
      <c r="C104" s="17"/>
      <c r="D104" s="169">
        <f>G94-F94</f>
        <v>0</v>
      </c>
      <c r="E104" s="17"/>
      <c r="F104" s="17"/>
      <c r="G104" s="17"/>
      <c r="H104" s="17"/>
      <c r="I104" s="17"/>
    </row>
    <row r="106" spans="2:10">
      <c r="B106" s="78" t="s">
        <v>43</v>
      </c>
      <c r="C106" s="50"/>
      <c r="D106" s="50"/>
      <c r="E106" s="50"/>
      <c r="F106" s="41" t="s">
        <v>131</v>
      </c>
      <c r="G106" s="87"/>
    </row>
    <row r="107" spans="2:10">
      <c r="B107" s="69" t="s">
        <v>4</v>
      </c>
      <c r="C107" s="59" t="s">
        <v>27</v>
      </c>
      <c r="D107" s="6" t="s">
        <v>219</v>
      </c>
      <c r="E107" s="6" t="s">
        <v>29</v>
      </c>
      <c r="F107" s="6" t="s">
        <v>30</v>
      </c>
      <c r="G107" s="79" t="s">
        <v>31</v>
      </c>
    </row>
    <row r="108" spans="2:10">
      <c r="B108" s="288" t="s">
        <v>271</v>
      </c>
      <c r="C108" s="48">
        <v>3522</v>
      </c>
      <c r="D108" s="157">
        <v>3557</v>
      </c>
      <c r="E108" s="287">
        <f>Utslag!B26</f>
        <v>0</v>
      </c>
      <c r="F108" s="49">
        <f>C108*E108</f>
        <v>0</v>
      </c>
      <c r="G108" s="107">
        <f>D108*E108</f>
        <v>0</v>
      </c>
    </row>
    <row r="109" spans="2:10">
      <c r="B109" s="73"/>
      <c r="C109" s="51"/>
      <c r="D109" s="51"/>
      <c r="E109" s="17"/>
      <c r="F109" s="52"/>
      <c r="G109" s="108"/>
    </row>
    <row r="110" spans="2:10">
      <c r="B110" s="69" t="s">
        <v>6</v>
      </c>
      <c r="C110" s="51"/>
      <c r="D110" s="51"/>
      <c r="E110" s="17"/>
      <c r="F110" s="52"/>
      <c r="G110" s="108"/>
    </row>
    <row r="111" spans="2:10">
      <c r="B111" s="73" t="s">
        <v>110</v>
      </c>
      <c r="C111" s="51">
        <v>587</v>
      </c>
      <c r="D111" s="157">
        <v>592</v>
      </c>
      <c r="E111" s="167">
        <f>Utslag!B28</f>
        <v>0</v>
      </c>
      <c r="F111" s="52">
        <f>C111*E111</f>
        <v>0</v>
      </c>
      <c r="G111" s="108">
        <f>D111*E111</f>
        <v>0</v>
      </c>
    </row>
    <row r="112" spans="2:10">
      <c r="B112" s="73"/>
      <c r="C112" s="51"/>
      <c r="D112" s="51"/>
      <c r="E112" s="17"/>
      <c r="F112" s="52"/>
      <c r="G112" s="108"/>
    </row>
    <row r="113" spans="2:7">
      <c r="B113" s="69" t="s">
        <v>138</v>
      </c>
      <c r="C113" s="51"/>
      <c r="D113" s="51"/>
      <c r="E113" s="17"/>
      <c r="F113" s="52"/>
      <c r="G113" s="108"/>
    </row>
    <row r="114" spans="2:7">
      <c r="B114" s="73" t="s">
        <v>25</v>
      </c>
      <c r="C114" s="51">
        <v>812</v>
      </c>
      <c r="D114" s="157">
        <v>820</v>
      </c>
      <c r="E114" s="167">
        <f>Utslag!B29</f>
        <v>0</v>
      </c>
      <c r="F114" s="52">
        <f>C114*E114</f>
        <v>0</v>
      </c>
      <c r="G114" s="108">
        <f>D114*E114</f>
        <v>0</v>
      </c>
    </row>
    <row r="115" spans="2:7">
      <c r="B115" s="73"/>
      <c r="C115" s="51"/>
      <c r="D115" s="51"/>
      <c r="E115" s="17"/>
      <c r="F115" s="52"/>
      <c r="G115" s="108"/>
    </row>
    <row r="116" spans="2:7">
      <c r="B116" s="69" t="s">
        <v>8</v>
      </c>
      <c r="C116" s="51"/>
      <c r="D116" s="51"/>
      <c r="E116" s="17"/>
      <c r="F116" s="52"/>
      <c r="G116" s="108"/>
    </row>
    <row r="117" spans="2:7">
      <c r="B117" s="76" t="s">
        <v>110</v>
      </c>
      <c r="C117" s="51">
        <v>509</v>
      </c>
      <c r="D117" s="157">
        <v>514</v>
      </c>
      <c r="E117" s="167">
        <f>Utslag!B30</f>
        <v>0</v>
      </c>
      <c r="F117" s="52">
        <f>C117*E117</f>
        <v>0</v>
      </c>
      <c r="G117" s="108">
        <f>D117*E117</f>
        <v>0</v>
      </c>
    </row>
    <row r="118" spans="2:7">
      <c r="B118" s="69" t="s">
        <v>16</v>
      </c>
      <c r="C118" s="51"/>
      <c r="D118" s="51"/>
      <c r="E118" s="17"/>
      <c r="F118" s="52"/>
      <c r="G118" s="108"/>
    </row>
    <row r="119" spans="2:7">
      <c r="B119" s="91" t="s">
        <v>110</v>
      </c>
      <c r="C119" s="51">
        <v>972</v>
      </c>
      <c r="D119" s="157">
        <v>981</v>
      </c>
      <c r="E119" s="167">
        <f>Utslag!B27</f>
        <v>0</v>
      </c>
      <c r="F119" s="52">
        <f>C119*E119</f>
        <v>0</v>
      </c>
      <c r="G119" s="108">
        <f>D119*E119</f>
        <v>0</v>
      </c>
    </row>
    <row r="120" spans="2:7">
      <c r="B120" s="73"/>
      <c r="C120" s="51"/>
      <c r="D120" s="51"/>
      <c r="E120" s="17"/>
      <c r="F120" s="52"/>
      <c r="G120" s="108"/>
    </row>
    <row r="121" spans="2:7">
      <c r="B121" s="69" t="s">
        <v>10</v>
      </c>
      <c r="C121" s="51"/>
      <c r="D121" s="51"/>
      <c r="E121" s="17"/>
      <c r="F121" s="52"/>
      <c r="G121" s="108"/>
    </row>
    <row r="122" spans="2:7">
      <c r="B122" s="91" t="s">
        <v>110</v>
      </c>
      <c r="C122" s="51">
        <v>1161</v>
      </c>
      <c r="D122" s="157">
        <v>1172</v>
      </c>
      <c r="E122" s="167">
        <f>Utslag!B31</f>
        <v>0</v>
      </c>
      <c r="F122" s="52">
        <f>C122*E122</f>
        <v>0</v>
      </c>
      <c r="G122" s="108">
        <f>D122*E122</f>
        <v>0</v>
      </c>
    </row>
    <row r="123" spans="2:7">
      <c r="B123" s="73"/>
      <c r="C123" s="51"/>
      <c r="D123" s="51"/>
      <c r="E123" s="17"/>
      <c r="F123" s="52"/>
      <c r="G123" s="108"/>
    </row>
    <row r="124" spans="2:7">
      <c r="B124" s="69" t="s">
        <v>11</v>
      </c>
      <c r="C124" s="51"/>
      <c r="D124" s="51"/>
      <c r="E124" s="17"/>
      <c r="F124" s="52"/>
      <c r="G124" s="108"/>
    </row>
    <row r="125" spans="2:7">
      <c r="B125" s="91" t="s">
        <v>110</v>
      </c>
      <c r="C125" s="51">
        <v>40</v>
      </c>
      <c r="D125" s="157">
        <v>41</v>
      </c>
      <c r="E125" s="167">
        <f>Utslag!B32</f>
        <v>0</v>
      </c>
      <c r="F125" s="52">
        <f>C125*E125</f>
        <v>0</v>
      </c>
      <c r="G125" s="108">
        <f>D125*E125</f>
        <v>0</v>
      </c>
    </row>
    <row r="126" spans="2:7">
      <c r="B126" s="73"/>
      <c r="C126" s="60"/>
      <c r="D126" s="51"/>
      <c r="E126" s="17"/>
      <c r="F126" s="52"/>
      <c r="G126" s="108"/>
    </row>
    <row r="127" spans="2:7">
      <c r="B127" s="69" t="s">
        <v>12</v>
      </c>
      <c r="C127" s="51"/>
      <c r="D127" s="51"/>
      <c r="E127" s="17"/>
      <c r="F127" s="52"/>
      <c r="G127" s="108"/>
    </row>
    <row r="128" spans="2:7">
      <c r="B128" s="73" t="s">
        <v>110</v>
      </c>
      <c r="C128" s="61">
        <v>10.199999999999999</v>
      </c>
      <c r="D128" s="157">
        <v>10.3</v>
      </c>
      <c r="E128" s="167">
        <f>Utslag!B33</f>
        <v>0</v>
      </c>
      <c r="F128" s="52">
        <f>C128*E128</f>
        <v>0</v>
      </c>
      <c r="G128" s="108">
        <f>D128*E128</f>
        <v>0</v>
      </c>
    </row>
    <row r="129" spans="2:7">
      <c r="B129" s="73"/>
      <c r="C129" s="51"/>
      <c r="D129" s="51"/>
      <c r="E129" s="17"/>
      <c r="F129" s="52"/>
      <c r="G129" s="108"/>
    </row>
    <row r="130" spans="2:7">
      <c r="B130" s="69" t="s">
        <v>111</v>
      </c>
      <c r="C130" s="51"/>
      <c r="D130" s="51"/>
      <c r="E130" s="17"/>
      <c r="F130" s="52"/>
      <c r="G130" s="108"/>
    </row>
    <row r="131" spans="2:7">
      <c r="B131" s="73" t="s">
        <v>110</v>
      </c>
      <c r="C131" s="51">
        <v>1161</v>
      </c>
      <c r="D131" s="157">
        <v>1172</v>
      </c>
      <c r="E131" s="17"/>
      <c r="F131" s="52"/>
      <c r="G131" s="108"/>
    </row>
    <row r="132" spans="2:7">
      <c r="B132" s="73"/>
      <c r="C132" s="60"/>
      <c r="D132" s="51"/>
      <c r="E132" s="17"/>
      <c r="F132" s="52"/>
      <c r="G132" s="108"/>
    </row>
    <row r="133" spans="2:7">
      <c r="B133" s="69" t="s">
        <v>112</v>
      </c>
      <c r="C133" s="60"/>
      <c r="D133" s="51"/>
      <c r="E133" s="17"/>
      <c r="F133" s="52"/>
      <c r="G133" s="108"/>
    </row>
    <row r="134" spans="2:7">
      <c r="B134" s="73" t="s">
        <v>110</v>
      </c>
      <c r="C134" s="51">
        <v>289</v>
      </c>
      <c r="D134" s="157">
        <v>291</v>
      </c>
      <c r="E134" s="17"/>
      <c r="F134" s="52"/>
      <c r="G134" s="108"/>
    </row>
    <row r="135" spans="2:7">
      <c r="B135" s="73"/>
      <c r="C135" s="60"/>
      <c r="D135" s="51"/>
      <c r="E135" s="17"/>
      <c r="F135" s="52"/>
      <c r="G135" s="108"/>
    </row>
    <row r="136" spans="2:7">
      <c r="B136" s="69" t="s">
        <v>113</v>
      </c>
      <c r="C136" s="60"/>
      <c r="D136" s="51"/>
      <c r="E136" s="17"/>
      <c r="F136" s="52"/>
      <c r="G136" s="108"/>
    </row>
    <row r="137" spans="2:7">
      <c r="B137" s="73" t="s">
        <v>110</v>
      </c>
      <c r="C137" s="61">
        <v>3.55</v>
      </c>
      <c r="D137" s="157">
        <v>3.59</v>
      </c>
      <c r="E137" s="17"/>
      <c r="F137" s="52"/>
      <c r="G137" s="108"/>
    </row>
    <row r="138" spans="2:7">
      <c r="B138" s="73"/>
      <c r="C138" s="60"/>
      <c r="D138" s="51"/>
      <c r="E138" s="17"/>
      <c r="F138" s="52"/>
      <c r="G138" s="108"/>
    </row>
    <row r="139" spans="2:7">
      <c r="B139" s="69" t="s">
        <v>114</v>
      </c>
      <c r="C139" s="60"/>
      <c r="D139" s="51"/>
      <c r="E139" s="17"/>
      <c r="F139" s="52"/>
      <c r="G139" s="108"/>
    </row>
    <row r="140" spans="2:7">
      <c r="B140" s="73" t="s">
        <v>110</v>
      </c>
      <c r="C140" s="61">
        <v>3.55</v>
      </c>
      <c r="D140" s="157">
        <v>3.59</v>
      </c>
      <c r="E140" s="17"/>
      <c r="F140" s="52"/>
      <c r="G140" s="108"/>
    </row>
    <row r="141" spans="2:7">
      <c r="B141" s="73"/>
      <c r="C141" s="60"/>
      <c r="D141" s="51"/>
      <c r="E141" s="17"/>
      <c r="F141" s="52"/>
      <c r="G141" s="108"/>
    </row>
    <row r="142" spans="2:7">
      <c r="B142" s="69" t="s">
        <v>115</v>
      </c>
      <c r="C142" s="60"/>
      <c r="D142" s="51"/>
      <c r="E142" s="17"/>
      <c r="F142" s="52"/>
      <c r="G142" s="108"/>
    </row>
    <row r="143" spans="2:7">
      <c r="B143" s="73" t="s">
        <v>110</v>
      </c>
      <c r="C143" s="61">
        <v>0.44</v>
      </c>
      <c r="D143" s="67">
        <v>0.44</v>
      </c>
      <c r="E143" s="17">
        <f>B235</f>
        <v>0</v>
      </c>
      <c r="F143" s="52">
        <f>C143*E143</f>
        <v>0</v>
      </c>
      <c r="G143" s="108">
        <f>D143*E143</f>
        <v>0</v>
      </c>
    </row>
    <row r="144" spans="2:7">
      <c r="B144" s="73"/>
      <c r="C144" s="60"/>
      <c r="D144" s="51"/>
      <c r="E144" s="17"/>
      <c r="F144" s="52"/>
      <c r="G144" s="108"/>
    </row>
    <row r="145" spans="2:9">
      <c r="B145" s="69" t="s">
        <v>116</v>
      </c>
      <c r="C145" s="60"/>
      <c r="D145" s="51"/>
      <c r="E145" s="17"/>
      <c r="F145" s="52"/>
      <c r="G145" s="108"/>
    </row>
    <row r="146" spans="2:9">
      <c r="B146" s="73" t="s">
        <v>110</v>
      </c>
      <c r="C146" s="51">
        <v>319</v>
      </c>
      <c r="D146" s="157">
        <v>322</v>
      </c>
      <c r="E146" s="17"/>
      <c r="F146" s="52"/>
      <c r="G146" s="108"/>
    </row>
    <row r="147" spans="2:9">
      <c r="B147" s="73"/>
      <c r="C147" s="51"/>
      <c r="D147" s="51"/>
      <c r="E147" s="17"/>
      <c r="F147" s="52"/>
      <c r="G147" s="108"/>
    </row>
    <row r="148" spans="2:9">
      <c r="B148" s="69" t="s">
        <v>117</v>
      </c>
      <c r="C148" s="51"/>
      <c r="D148" s="51"/>
      <c r="E148" s="17"/>
      <c r="F148" s="52"/>
      <c r="G148" s="108"/>
    </row>
    <row r="149" spans="2:9">
      <c r="B149" s="74" t="s">
        <v>110</v>
      </c>
      <c r="C149" s="53">
        <v>93</v>
      </c>
      <c r="D149" s="157">
        <v>94</v>
      </c>
      <c r="E149" s="9"/>
      <c r="F149" s="30"/>
      <c r="G149" s="109"/>
    </row>
    <row r="150" spans="2:9">
      <c r="B150" s="90"/>
      <c r="C150" s="110"/>
      <c r="D150" s="15"/>
      <c r="E150" s="17"/>
      <c r="F150" s="17"/>
      <c r="G150" s="88"/>
    </row>
    <row r="151" spans="2:9">
      <c r="B151" s="69"/>
      <c r="C151" s="110"/>
      <c r="D151" s="15"/>
      <c r="E151" s="17"/>
      <c r="F151" s="111">
        <f>SUM(F108:F149)</f>
        <v>0</v>
      </c>
      <c r="G151" s="112">
        <f>SUM(G108:G149)</f>
        <v>0</v>
      </c>
      <c r="I151" s="7"/>
    </row>
    <row r="152" spans="2:9">
      <c r="B152" s="71" t="s">
        <v>32</v>
      </c>
      <c r="C152" s="106">
        <v>73500</v>
      </c>
      <c r="D152" s="113">
        <v>74200</v>
      </c>
      <c r="E152" s="9"/>
      <c r="F152" s="9" t="s">
        <v>33</v>
      </c>
      <c r="G152" s="75" t="s">
        <v>34</v>
      </c>
    </row>
    <row r="153" spans="2:9">
      <c r="B153" s="5"/>
    </row>
    <row r="154" spans="2:9">
      <c r="B154" s="3"/>
      <c r="F154" s="11"/>
    </row>
    <row r="155" spans="2:9">
      <c r="B155">
        <v>1</v>
      </c>
      <c r="C155" s="13">
        <f>IF(AND(F151&lt;$C$152,G151&lt;$D$152),G151-F151,0)</f>
        <v>0</v>
      </c>
    </row>
    <row r="156" spans="2:9">
      <c r="B156">
        <v>2</v>
      </c>
      <c r="C156">
        <f>IF(AND(F151&lt;C152,G151&gt;D152),(D152-F151),0)</f>
        <v>0</v>
      </c>
      <c r="D156" t="s">
        <v>35</v>
      </c>
    </row>
    <row r="157" spans="2:9">
      <c r="B157">
        <v>3</v>
      </c>
      <c r="C157">
        <f>IF(AND(F151&gt;C152,G151&gt;D152),(D152-C152),0)</f>
        <v>0</v>
      </c>
      <c r="D157" t="s">
        <v>36</v>
      </c>
    </row>
    <row r="158" spans="2:9">
      <c r="B158" s="9">
        <v>4</v>
      </c>
      <c r="C158" s="9">
        <f>IF(AND(F151&gt;C152,G151&lt;D152),(G151-$C$152),0)</f>
        <v>0</v>
      </c>
      <c r="D158" t="s">
        <v>37</v>
      </c>
    </row>
    <row r="159" spans="2:9">
      <c r="C159" s="2">
        <f>SUM(C155:C158)</f>
        <v>0</v>
      </c>
    </row>
    <row r="160" spans="2:9">
      <c r="C160" s="2"/>
    </row>
    <row r="161" spans="2:7">
      <c r="C161" s="2"/>
    </row>
    <row r="162" spans="2:7" ht="15">
      <c r="B162" s="63" t="s">
        <v>132</v>
      </c>
      <c r="C162" s="2"/>
      <c r="D162" s="20" t="e">
        <f>E238</f>
        <v>#REF!</v>
      </c>
    </row>
    <row r="163" spans="2:7">
      <c r="C163" s="2"/>
    </row>
    <row r="164" spans="2:7">
      <c r="C164" s="2"/>
    </row>
    <row r="165" spans="2:7">
      <c r="C165" s="2"/>
    </row>
    <row r="166" spans="2:7">
      <c r="B166" s="2" t="s">
        <v>72</v>
      </c>
    </row>
    <row r="168" spans="2:7">
      <c r="B168" t="s">
        <v>73</v>
      </c>
    </row>
    <row r="169" spans="2:7">
      <c r="B169" t="s">
        <v>74</v>
      </c>
    </row>
    <row r="170" spans="2:7">
      <c r="B170" t="s">
        <v>56</v>
      </c>
    </row>
    <row r="171" spans="2:7">
      <c r="C171" s="2" t="e">
        <f>IF(Utslag!#REF!&gt;0,Utslag!#REF!,IF(Utslag!#REF!&lt;0,Utslag!#REF!,IF(Utslag!#REF!&gt;0,Utslag!#REF!,IF(Utslag!#REF!&lt;0,Utslag!#REF!,Utslag!#REF!))))</f>
        <v>#REF!</v>
      </c>
      <c r="E171" s="159" t="s">
        <v>172</v>
      </c>
      <c r="F171" t="s">
        <v>173</v>
      </c>
      <c r="G171" t="s">
        <v>174</v>
      </c>
    </row>
    <row r="172" spans="2:7">
      <c r="B172" t="s">
        <v>75</v>
      </c>
      <c r="C172">
        <f>IF('Ark18'!C11&gt;49,9000,IF('Ark18'!C11&gt;5,'Ark18'!C11*580,0))</f>
        <v>0</v>
      </c>
      <c r="E172">
        <v>580</v>
      </c>
      <c r="F172">
        <v>580</v>
      </c>
      <c r="G172">
        <v>9000</v>
      </c>
    </row>
    <row r="173" spans="2:7">
      <c r="C173" s="2" t="e">
        <f>IF(C171&gt;0,C171,IF(C171&lt;0,C171,C172))</f>
        <v>#REF!</v>
      </c>
    </row>
    <row r="174" spans="2:7">
      <c r="B174" t="s">
        <v>76</v>
      </c>
    </row>
    <row r="175" spans="2:7">
      <c r="C175" s="31" t="e">
        <f>IF(C173&gt;0,C173,IF(C173&lt;0,C173,Utslag!#REF!))</f>
        <v>#REF!</v>
      </c>
      <c r="D175" t="s">
        <v>77</v>
      </c>
    </row>
    <row r="177" spans="1:34">
      <c r="B177" t="s">
        <v>175</v>
      </c>
      <c r="C177" t="e">
        <f>IF(Utslag!#REF!+C172+Utslag!#REF!=0,Utslag!#REF!+Utslag!#REF!,0)</f>
        <v>#REF!</v>
      </c>
    </row>
    <row r="178" spans="1:34">
      <c r="B178" t="s">
        <v>176</v>
      </c>
      <c r="C178" t="e">
        <f>IF(Utslag!#REF!+Utslag!#REF!+C172+Utslag!#REF!=0,Utslag!#REF!,0)</f>
        <v>#REF!</v>
      </c>
    </row>
    <row r="179" spans="1:34">
      <c r="B179" t="s">
        <v>177</v>
      </c>
      <c r="C179" t="e">
        <f>IF(Utslag!#REF!+Utslag!#REF!+Utslag!#REF!+Utslag!#REF!=0,C172,0)</f>
        <v>#REF!</v>
      </c>
    </row>
    <row r="180" spans="1:34">
      <c r="B180" t="s">
        <v>178</v>
      </c>
      <c r="C180" t="e">
        <f>IF(Utslag!#REF!+Utslag!#REF!+Utslag!#REF!+C172=0,Utslag!#REF!,0)</f>
        <v>#REF!</v>
      </c>
    </row>
    <row r="181" spans="1:34">
      <c r="B181" t="s">
        <v>179</v>
      </c>
      <c r="C181" t="e">
        <f>IF(AND(Utslag!#REF!&gt;0,Utslag!#REF!&gt;0),0,Utslag!#REF!)</f>
        <v>#REF!</v>
      </c>
      <c r="F181" s="2"/>
    </row>
    <row r="182" spans="1:34">
      <c r="B182" t="s">
        <v>180</v>
      </c>
      <c r="C182" t="e">
        <f>IF(AND(Utslag!#REF!&gt;0,Utslag!#REF!&gt;0),0,IF(AND('Ark18'!C11&gt;6,'Ark18'!C11&lt;50,'Ark18'!C11*2000),IF('Ark18'!C11&gt;50,80000),0))</f>
        <v>#REF!</v>
      </c>
    </row>
    <row r="186" spans="1:34" ht="16.5" customHeight="1">
      <c r="A186" s="24" t="s">
        <v>4</v>
      </c>
      <c r="B186" s="28">
        <v>0</v>
      </c>
      <c r="C186" s="25" t="s">
        <v>5</v>
      </c>
      <c r="D186" s="10"/>
      <c r="E186" s="10"/>
      <c r="F186" s="10"/>
      <c r="G186" s="10"/>
      <c r="H186" s="10"/>
      <c r="I186" s="22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 customHeight="1">
      <c r="A187" s="24" t="s">
        <v>57</v>
      </c>
      <c r="B187" s="28">
        <v>0</v>
      </c>
      <c r="C187" s="25" t="s">
        <v>55</v>
      </c>
      <c r="D187" s="10"/>
      <c r="E187" s="10"/>
      <c r="F187" s="10"/>
      <c r="G187" s="10"/>
      <c r="H187" s="10"/>
      <c r="I187" s="22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9" spans="1:34" ht="16.5" customHeight="1">
      <c r="A189" s="24" t="s">
        <v>16</v>
      </c>
      <c r="B189" s="28">
        <v>0</v>
      </c>
      <c r="C189" s="25" t="s">
        <v>5</v>
      </c>
      <c r="D189" s="10"/>
      <c r="E189" s="10"/>
      <c r="F189" s="10"/>
      <c r="G189" s="10"/>
      <c r="H189" s="10"/>
      <c r="I189" s="22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 customHeight="1">
      <c r="A190" s="24" t="s">
        <v>60</v>
      </c>
      <c r="B190" s="28">
        <v>0</v>
      </c>
      <c r="C190" s="25" t="s">
        <v>5</v>
      </c>
      <c r="D190" s="10"/>
      <c r="E190" s="10"/>
      <c r="F190" s="10"/>
      <c r="G190" s="10"/>
      <c r="H190" s="10"/>
      <c r="I190" s="22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 customHeight="1">
      <c r="A191" s="24" t="s">
        <v>7</v>
      </c>
      <c r="B191" s="28">
        <v>0</v>
      </c>
      <c r="C191" s="25" t="s">
        <v>5</v>
      </c>
      <c r="D191" s="10"/>
      <c r="E191" s="10"/>
      <c r="F191" s="10"/>
      <c r="G191" s="10"/>
      <c r="H191" s="10"/>
      <c r="I191" s="22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3" spans="1:34" ht="16.5" customHeight="1">
      <c r="A193" s="24" t="s">
        <v>10</v>
      </c>
      <c r="B193" s="28">
        <v>0</v>
      </c>
      <c r="C193" s="25" t="s">
        <v>5</v>
      </c>
      <c r="D193" s="10"/>
      <c r="E193" s="10"/>
      <c r="F193" s="10"/>
      <c r="G193" s="10"/>
      <c r="H193" s="10"/>
      <c r="I193" s="2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5.75" customHeight="1">
      <c r="A194" s="24" t="s">
        <v>11</v>
      </c>
      <c r="B194" s="27">
        <v>0</v>
      </c>
      <c r="C194" s="25" t="s">
        <v>5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5">
      <c r="A195" s="24" t="s">
        <v>12</v>
      </c>
      <c r="B195" s="23">
        <v>0</v>
      </c>
      <c r="C195" s="25" t="s">
        <v>5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8" spans="1:34">
      <c r="A198" s="78" t="s">
        <v>46</v>
      </c>
      <c r="B198" s="42"/>
      <c r="C198" s="50"/>
      <c r="D198" s="50"/>
      <c r="E198" s="87"/>
    </row>
    <row r="199" spans="1:34">
      <c r="A199" s="71" t="s">
        <v>20</v>
      </c>
      <c r="B199" s="4" t="s">
        <v>21</v>
      </c>
      <c r="C199" s="4" t="s">
        <v>22</v>
      </c>
      <c r="D199" s="4" t="s">
        <v>0</v>
      </c>
      <c r="E199" s="72" t="s">
        <v>1</v>
      </c>
    </row>
    <row r="200" spans="1:34">
      <c r="A200" s="71" t="s">
        <v>4</v>
      </c>
      <c r="B200" s="5"/>
      <c r="C200" s="17"/>
      <c r="D200" s="17"/>
      <c r="E200" s="88"/>
    </row>
    <row r="201" spans="1:34">
      <c r="A201" s="73" t="s">
        <v>23</v>
      </c>
      <c r="B201" s="5">
        <f>IF('Ark18'!C10&lt;9,'Ark18'!C10,8)</f>
        <v>0</v>
      </c>
      <c r="C201" s="52">
        <f>D108-C108</f>
        <v>35</v>
      </c>
      <c r="D201" s="54">
        <f>B201*C201</f>
        <v>0</v>
      </c>
      <c r="E201" s="88"/>
    </row>
    <row r="202" spans="1:34">
      <c r="A202" s="73" t="s">
        <v>44</v>
      </c>
      <c r="B202" s="5">
        <f>IF('Ark18'!C10&lt;9,0,'Ark18'!C10-8)</f>
        <v>0</v>
      </c>
      <c r="C202" s="52" t="e">
        <f>#REF!-#REF!</f>
        <v>#REF!</v>
      </c>
      <c r="D202" s="54" t="e">
        <f>B202*C202</f>
        <v>#REF!</v>
      </c>
      <c r="E202" s="89" t="e">
        <f>SUM(D201:D202)</f>
        <v>#REF!</v>
      </c>
    </row>
    <row r="203" spans="1:34">
      <c r="A203" s="90"/>
      <c r="B203" s="5"/>
      <c r="C203" s="52"/>
      <c r="D203" s="54"/>
      <c r="E203" s="88"/>
    </row>
    <row r="204" spans="1:34">
      <c r="A204" s="90"/>
      <c r="B204" s="5"/>
      <c r="C204" s="52"/>
      <c r="D204" s="54"/>
      <c r="E204" s="88"/>
    </row>
    <row r="205" spans="1:34">
      <c r="A205" s="69" t="s">
        <v>6</v>
      </c>
      <c r="B205" s="5"/>
      <c r="C205" s="17"/>
      <c r="D205" s="54"/>
      <c r="E205" s="88"/>
    </row>
    <row r="206" spans="1:34">
      <c r="A206" s="73" t="s">
        <v>110</v>
      </c>
      <c r="B206" s="5">
        <f>'Ark18'!C12</f>
        <v>0</v>
      </c>
      <c r="C206" s="52">
        <f>D111-C111</f>
        <v>5</v>
      </c>
      <c r="D206" s="54">
        <f>B206*C206</f>
        <v>0</v>
      </c>
      <c r="E206" s="88"/>
    </row>
    <row r="207" spans="1:34">
      <c r="A207" s="73"/>
      <c r="B207" s="5"/>
      <c r="C207" s="52"/>
      <c r="D207" s="54"/>
      <c r="E207" s="89">
        <f>SUM(D206:D208)</f>
        <v>0</v>
      </c>
    </row>
    <row r="208" spans="1:34">
      <c r="A208" s="74"/>
      <c r="B208" s="5"/>
      <c r="C208" s="52"/>
      <c r="D208" s="54"/>
      <c r="E208" s="88"/>
    </row>
    <row r="209" spans="1:5">
      <c r="A209" s="69" t="s">
        <v>139</v>
      </c>
      <c r="B209" s="5"/>
      <c r="C209" s="52"/>
      <c r="D209" s="54"/>
      <c r="E209" s="88"/>
    </row>
    <row r="210" spans="1:5">
      <c r="A210" s="73" t="s">
        <v>25</v>
      </c>
      <c r="B210" s="5">
        <f>IF('Ark18'!C13&lt;41,'Ark18'!C13,40)</f>
        <v>0</v>
      </c>
      <c r="C210" s="52">
        <f>D114-C114</f>
        <v>8</v>
      </c>
      <c r="D210" s="54">
        <f>B210*C210</f>
        <v>0</v>
      </c>
      <c r="E210" s="88"/>
    </row>
    <row r="211" spans="1:5">
      <c r="A211" s="74" t="s">
        <v>45</v>
      </c>
      <c r="B211" s="5">
        <f>IF('Ark18'!C13&lt;41,0,'Ark18'!C13-Satser!B210)</f>
        <v>0</v>
      </c>
      <c r="C211" s="52" t="e">
        <f>#REF!-#REF!</f>
        <v>#REF!</v>
      </c>
      <c r="D211" s="54" t="e">
        <f>B211*C211</f>
        <v>#REF!</v>
      </c>
      <c r="E211" s="88"/>
    </row>
    <row r="212" spans="1:5">
      <c r="A212" s="73"/>
      <c r="B212" s="5"/>
      <c r="C212" s="52"/>
      <c r="D212" s="54"/>
      <c r="E212" s="89" t="e">
        <f>SUM(D210:D211)</f>
        <v>#REF!</v>
      </c>
    </row>
    <row r="213" spans="1:5">
      <c r="A213" s="69" t="s">
        <v>8</v>
      </c>
      <c r="B213" s="5"/>
      <c r="C213" s="52"/>
      <c r="D213" s="54"/>
      <c r="E213" s="88"/>
    </row>
    <row r="214" spans="1:5">
      <c r="A214" s="73" t="s">
        <v>110</v>
      </c>
      <c r="B214" s="5">
        <f>'Ark18'!C14</f>
        <v>0</v>
      </c>
      <c r="C214" s="52">
        <f>D117-C117</f>
        <v>5</v>
      </c>
      <c r="D214" s="54">
        <f>B214*C214</f>
        <v>0</v>
      </c>
      <c r="E214" s="88"/>
    </row>
    <row r="215" spans="1:5">
      <c r="A215" s="73"/>
      <c r="B215" s="5"/>
      <c r="C215" s="52"/>
      <c r="D215" s="54"/>
      <c r="E215" s="89">
        <f>D214</f>
        <v>0</v>
      </c>
    </row>
    <row r="216" spans="1:5">
      <c r="A216" s="90"/>
      <c r="B216" s="5"/>
      <c r="C216" s="52"/>
      <c r="D216" s="54"/>
      <c r="E216" s="88"/>
    </row>
    <row r="217" spans="1:5">
      <c r="A217" s="69" t="s">
        <v>16</v>
      </c>
      <c r="B217" s="5"/>
      <c r="C217" s="17"/>
      <c r="D217" s="54"/>
      <c r="E217" s="88"/>
    </row>
    <row r="218" spans="1:5">
      <c r="A218" s="91" t="s">
        <v>110</v>
      </c>
      <c r="B218" s="5">
        <f>'Ark18'!C11</f>
        <v>0</v>
      </c>
      <c r="C218" s="52">
        <f>D119-C119</f>
        <v>9</v>
      </c>
      <c r="D218" s="54">
        <f>B218*C218</f>
        <v>0</v>
      </c>
      <c r="E218" s="88"/>
    </row>
    <row r="219" spans="1:5">
      <c r="A219" s="74"/>
      <c r="B219" s="5"/>
      <c r="C219" s="52"/>
      <c r="D219" s="54"/>
      <c r="E219" s="89">
        <f>D218</f>
        <v>0</v>
      </c>
    </row>
    <row r="220" spans="1:5">
      <c r="A220" s="73"/>
      <c r="B220" s="5"/>
      <c r="C220" s="52"/>
      <c r="D220" s="54"/>
      <c r="E220" s="89"/>
    </row>
    <row r="221" spans="1:5">
      <c r="A221" s="69" t="s">
        <v>10</v>
      </c>
      <c r="B221" s="5"/>
      <c r="C221" s="17"/>
      <c r="D221" s="54"/>
      <c r="E221" s="88"/>
    </row>
    <row r="222" spans="1:5">
      <c r="A222" s="91" t="s">
        <v>110</v>
      </c>
      <c r="B222" s="5">
        <f>Utslag!B31</f>
        <v>0</v>
      </c>
      <c r="C222" s="52">
        <f>D122-C122</f>
        <v>11</v>
      </c>
      <c r="D222" s="54">
        <f>B222*C222</f>
        <v>0</v>
      </c>
      <c r="E222" s="88"/>
    </row>
    <row r="223" spans="1:5">
      <c r="A223" s="74"/>
      <c r="B223" s="5"/>
      <c r="C223" s="52"/>
      <c r="D223" s="54"/>
      <c r="E223" s="89">
        <f>D222</f>
        <v>0</v>
      </c>
    </row>
    <row r="224" spans="1:5">
      <c r="A224" s="90"/>
      <c r="B224" s="17"/>
      <c r="C224" s="17"/>
      <c r="D224" s="17"/>
      <c r="E224" s="88"/>
    </row>
    <row r="225" spans="1:5">
      <c r="A225" s="90"/>
      <c r="B225" s="17"/>
      <c r="C225" s="17"/>
      <c r="D225" s="17"/>
      <c r="E225" s="88"/>
    </row>
    <row r="226" spans="1:5">
      <c r="A226" s="69" t="s">
        <v>11</v>
      </c>
      <c r="B226" s="5"/>
      <c r="C226" s="52"/>
      <c r="D226" s="54"/>
      <c r="E226" s="88"/>
    </row>
    <row r="227" spans="1:5">
      <c r="A227" s="91" t="s">
        <v>110</v>
      </c>
      <c r="B227" s="5">
        <f>Utslag!B32</f>
        <v>0</v>
      </c>
      <c r="C227" s="52">
        <f>D125-C125</f>
        <v>1</v>
      </c>
      <c r="D227" s="54">
        <f>B227*C227</f>
        <v>0</v>
      </c>
      <c r="E227" s="88"/>
    </row>
    <row r="228" spans="1:5">
      <c r="A228" s="91"/>
      <c r="B228" s="5"/>
      <c r="C228" s="52"/>
      <c r="D228" s="54"/>
      <c r="E228" s="89">
        <f>D227</f>
        <v>0</v>
      </c>
    </row>
    <row r="229" spans="1:5">
      <c r="A229" s="91"/>
      <c r="B229" s="5"/>
      <c r="C229" s="52"/>
      <c r="D229" s="54"/>
      <c r="E229" s="88"/>
    </row>
    <row r="230" spans="1:5">
      <c r="A230" s="69" t="s">
        <v>12</v>
      </c>
      <c r="B230" s="5"/>
      <c r="C230" s="52"/>
      <c r="D230" s="54"/>
      <c r="E230" s="88"/>
    </row>
    <row r="231" spans="1:5">
      <c r="A231" s="73" t="s">
        <v>110</v>
      </c>
      <c r="B231" s="5">
        <f>'Ark18'!C21</f>
        <v>0</v>
      </c>
      <c r="C231" s="92">
        <f>D128-C128</f>
        <v>0.10000000000000142</v>
      </c>
      <c r="D231" s="54">
        <f>B231*C231</f>
        <v>0</v>
      </c>
      <c r="E231" s="88"/>
    </row>
    <row r="232" spans="1:5">
      <c r="A232" s="74"/>
      <c r="B232" s="5"/>
      <c r="C232" s="92"/>
      <c r="D232" s="54"/>
      <c r="E232" s="89">
        <f>D231</f>
        <v>0</v>
      </c>
    </row>
    <row r="233" spans="1:5">
      <c r="A233" s="90"/>
      <c r="B233" s="17"/>
      <c r="C233" s="17"/>
      <c r="D233" s="17"/>
      <c r="E233" s="88"/>
    </row>
    <row r="234" spans="1:5">
      <c r="A234" s="69" t="s">
        <v>129</v>
      </c>
      <c r="B234" s="17"/>
      <c r="C234" s="17"/>
      <c r="D234" s="17"/>
      <c r="E234" s="88"/>
    </row>
    <row r="235" spans="1:5">
      <c r="A235" s="90"/>
      <c r="B235" s="17">
        <f>Satser!C306</f>
        <v>0</v>
      </c>
      <c r="C235" s="92">
        <f>D143-C143</f>
        <v>0</v>
      </c>
      <c r="D235" s="17">
        <f>B235*C235</f>
        <v>0</v>
      </c>
      <c r="E235" s="88"/>
    </row>
    <row r="236" spans="1:5">
      <c r="A236" s="90"/>
      <c r="B236" s="17"/>
      <c r="C236" s="17"/>
      <c r="D236" s="17"/>
      <c r="E236" s="79">
        <f>D235</f>
        <v>0</v>
      </c>
    </row>
    <row r="237" spans="1:5">
      <c r="A237" s="90"/>
      <c r="B237" s="17"/>
      <c r="C237" s="17"/>
      <c r="D237" s="17"/>
      <c r="E237" s="88"/>
    </row>
    <row r="238" spans="1:5">
      <c r="A238" s="71" t="s">
        <v>130</v>
      </c>
      <c r="B238" s="4"/>
      <c r="C238" s="4"/>
      <c r="D238" s="4"/>
      <c r="E238" s="93" t="e">
        <f>SUM(E202:E236)</f>
        <v>#REF!</v>
      </c>
    </row>
    <row r="241" spans="2:8">
      <c r="B241" t="s">
        <v>153</v>
      </c>
      <c r="C241" t="s">
        <v>235</v>
      </c>
      <c r="D241" t="s">
        <v>156</v>
      </c>
      <c r="E241" t="s">
        <v>157</v>
      </c>
      <c r="G241" t="s">
        <v>30</v>
      </c>
    </row>
    <row r="243" spans="2:8">
      <c r="B243" t="s">
        <v>62</v>
      </c>
      <c r="C243" s="158">
        <v>0</v>
      </c>
      <c r="E243">
        <f>Utslag!B24+'Ark18'!C6+'Ark18'!C7</f>
        <v>0</v>
      </c>
      <c r="G243">
        <f>E243*C243</f>
        <v>0</v>
      </c>
    </row>
    <row r="244" spans="2:8">
      <c r="B244" t="s">
        <v>38</v>
      </c>
      <c r="C244" s="158">
        <v>0</v>
      </c>
      <c r="E244">
        <f>'Ark18'!C9</f>
        <v>0</v>
      </c>
      <c r="G244">
        <f>E244*C244</f>
        <v>0</v>
      </c>
    </row>
    <row r="245" spans="2:8">
      <c r="B245" t="s">
        <v>48</v>
      </c>
      <c r="C245" s="158">
        <v>0</v>
      </c>
      <c r="E245">
        <f>'Ark18'!C8</f>
        <v>0</v>
      </c>
      <c r="G245">
        <f>E245*C245</f>
        <v>0</v>
      </c>
    </row>
    <row r="246" spans="2:8">
      <c r="B246" t="s">
        <v>47</v>
      </c>
      <c r="C246" s="158">
        <v>0</v>
      </c>
      <c r="E246">
        <f>Utslag!B23+Utslag!B22*0.6</f>
        <v>0</v>
      </c>
      <c r="G246">
        <f>E246*C246</f>
        <v>0</v>
      </c>
    </row>
    <row r="247" spans="2:8">
      <c r="B247" t="s">
        <v>170</v>
      </c>
      <c r="C247" s="158">
        <v>400</v>
      </c>
      <c r="D247">
        <v>98</v>
      </c>
      <c r="E247">
        <f>'Ark18'!C10</f>
        <v>0</v>
      </c>
      <c r="G247">
        <f>IF(Utslag!$B$4&lt;5,E247*C247,E247*D247)</f>
        <v>0</v>
      </c>
    </row>
    <row r="248" spans="2:8">
      <c r="B248" t="s">
        <v>16</v>
      </c>
      <c r="C248" s="158">
        <v>482</v>
      </c>
      <c r="D248">
        <v>32</v>
      </c>
      <c r="E248">
        <f>'Ark18'!C11</f>
        <v>0</v>
      </c>
      <c r="G248">
        <f>IF(Utslag!$B$4&lt;5,E248*C248,E248*D248)</f>
        <v>0</v>
      </c>
    </row>
    <row r="249" spans="2:8">
      <c r="B249" t="s">
        <v>154</v>
      </c>
      <c r="C249" s="158">
        <v>198</v>
      </c>
      <c r="D249">
        <v>36</v>
      </c>
      <c r="E249">
        <f>'Ark18'!C12</f>
        <v>0</v>
      </c>
      <c r="G249">
        <f>IF(Utslag!$B$4&lt;5,E249*C249,E249*D249)</f>
        <v>0</v>
      </c>
    </row>
    <row r="250" spans="2:8">
      <c r="B250" t="s">
        <v>171</v>
      </c>
      <c r="C250" s="158">
        <v>108</v>
      </c>
      <c r="D250">
        <v>36</v>
      </c>
      <c r="E250">
        <f>'Ark18'!C14</f>
        <v>0</v>
      </c>
      <c r="G250">
        <f>IF(Utslag!$B$4&lt;5,E250*C250,E250*D250)</f>
        <v>0</v>
      </c>
    </row>
    <row r="251" spans="2:8">
      <c r="B251" t="s">
        <v>155</v>
      </c>
      <c r="C251" s="158">
        <v>0</v>
      </c>
      <c r="D251">
        <v>0</v>
      </c>
      <c r="E251">
        <f>Utslag!B31</f>
        <v>0</v>
      </c>
      <c r="G251">
        <f>IF(Utslag!$B$4&lt;5,E251*C251,E251*D251)</f>
        <v>0</v>
      </c>
    </row>
    <row r="252" spans="2:8">
      <c r="B252" t="s">
        <v>11</v>
      </c>
      <c r="C252" s="158">
        <v>0</v>
      </c>
      <c r="D252" s="5">
        <v>0</v>
      </c>
      <c r="E252" s="1">
        <f>Utslag!B32</f>
        <v>0</v>
      </c>
      <c r="F252" s="18"/>
      <c r="G252">
        <f>IF(Utslag!$B$4&lt;5,E252*C252,E252*D252)</f>
        <v>0</v>
      </c>
      <c r="H252" s="20"/>
    </row>
    <row r="253" spans="2:8">
      <c r="D253" s="5"/>
      <c r="E253" s="1"/>
      <c r="F253" s="18" t="s">
        <v>158</v>
      </c>
      <c r="G253" s="19">
        <f>SUM(G243:G252)</f>
        <v>0</v>
      </c>
      <c r="H253" s="19"/>
    </row>
    <row r="254" spans="2:8">
      <c r="D254" s="5"/>
      <c r="E254" s="1"/>
      <c r="F254" s="18"/>
      <c r="G254" s="19"/>
      <c r="H254" s="20">
        <f>H253+G253</f>
        <v>0</v>
      </c>
    </row>
    <row r="255" spans="2:8">
      <c r="D255" s="5"/>
      <c r="E255" s="1"/>
      <c r="F255" s="18"/>
      <c r="G255" s="19"/>
      <c r="H255" s="20"/>
    </row>
    <row r="256" spans="2:8">
      <c r="D256" s="1"/>
      <c r="E256" s="1"/>
      <c r="F256" s="7"/>
    </row>
    <row r="257" spans="3:11">
      <c r="C257" t="s">
        <v>182</v>
      </c>
      <c r="D257" s="160" t="s">
        <v>165</v>
      </c>
      <c r="E257" s="160" t="s">
        <v>56</v>
      </c>
      <c r="F257" s="160" t="s">
        <v>16</v>
      </c>
      <c r="G257" s="160" t="s">
        <v>181</v>
      </c>
    </row>
    <row r="258" spans="3:11">
      <c r="C258" t="s">
        <v>183</v>
      </c>
      <c r="D258">
        <f>D259/5</f>
        <v>24400</v>
      </c>
      <c r="E258" s="7">
        <f>130000/27</f>
        <v>4814.8148148148148</v>
      </c>
      <c r="F258">
        <v>0</v>
      </c>
      <c r="G258">
        <v>0</v>
      </c>
    </row>
    <row r="259" spans="3:11">
      <c r="C259" t="s">
        <v>184</v>
      </c>
      <c r="D259">
        <f>IF(Utslag!B4&gt;5,130000,IF(Utslag!B4=2,115000,122000))</f>
        <v>122000</v>
      </c>
      <c r="E259">
        <v>130000</v>
      </c>
      <c r="F259">
        <v>0</v>
      </c>
      <c r="G259">
        <v>0</v>
      </c>
    </row>
    <row r="260" spans="3:11">
      <c r="C260" t="s">
        <v>185</v>
      </c>
    </row>
    <row r="261" spans="3:11">
      <c r="C261" t="s">
        <v>183</v>
      </c>
      <c r="D261">
        <f>IF(Utslag!B4&lt;6,25000,24800)</f>
        <v>25000</v>
      </c>
      <c r="E261" s="7">
        <f>133000/27</f>
        <v>4925.9259259259261</v>
      </c>
      <c r="F261">
        <v>0</v>
      </c>
      <c r="G261">
        <v>0</v>
      </c>
    </row>
    <row r="262" spans="3:11">
      <c r="C262" t="s">
        <v>184</v>
      </c>
      <c r="D262">
        <f>IF(Utslag!B4&gt;5,133000,IF(Utslag!B4=2,118000,125000))</f>
        <v>125000</v>
      </c>
      <c r="E262">
        <v>133000</v>
      </c>
      <c r="F262">
        <v>0</v>
      </c>
      <c r="G262">
        <v>0</v>
      </c>
    </row>
    <row r="264" spans="3:11">
      <c r="C264" t="s">
        <v>186</v>
      </c>
    </row>
    <row r="265" spans="3:11">
      <c r="C265" t="s">
        <v>182</v>
      </c>
      <c r="D265">
        <f>IF('Ark18'!$C$10&lt;5,'Ark18'!$C$10*Satser!D$258,Satser!D$259)</f>
        <v>0</v>
      </c>
      <c r="E265">
        <f>IF('Ark18'!$C$13&lt;27,'Ark18'!$C$13*Satser!E$258,Satser!E$259)</f>
        <v>0</v>
      </c>
      <c r="F265">
        <f>IF('Ark18'!$C$11&lt;6,0,IF('Ark18'!$C$11&lt;50,'Ark18'!$C$11*Satser!F$258,Satser!F$259))</f>
        <v>0</v>
      </c>
      <c r="G265">
        <f>IF('Ark18'!$C$14&lt;10,0,IF('Ark18'!$C$14&lt;50,'Ark18'!$C$14*Satser!G$258,Satser!G$259))</f>
        <v>0</v>
      </c>
      <c r="H265">
        <f>MAX(D265:G265)</f>
        <v>0</v>
      </c>
    </row>
    <row r="266" spans="3:11">
      <c r="C266" t="s">
        <v>187</v>
      </c>
      <c r="D266">
        <f>IF('Ark18'!$C$10&lt;5,'Ark18'!$C$10*Satser!D$261,Satser!D$262)</f>
        <v>0</v>
      </c>
      <c r="E266">
        <f>IF('Ark18'!$C$13&lt;27,'Ark18'!$C$13*Satser!E$261,Satser!E$262)</f>
        <v>0</v>
      </c>
      <c r="F266">
        <f>IF('Ark18'!$C$11&lt;6,0,IF('Ark18'!$C$11&lt;50,'Ark18'!$C$11*Satser!F$261,Satser!F$262))</f>
        <v>0</v>
      </c>
      <c r="G266">
        <f>IF('Ark18'!$C$14&lt;10,0,IF('Ark18'!$C$14&lt;50,'Ark18'!$C$14*Satser!G$261,Satser!G$262))</f>
        <v>0</v>
      </c>
      <c r="H266">
        <f>MAX(D266:G266)</f>
        <v>0</v>
      </c>
    </row>
    <row r="267" spans="3:11">
      <c r="C267" t="s">
        <v>188</v>
      </c>
      <c r="D267">
        <f>IF($H$266=D266,0,D266)</f>
        <v>0</v>
      </c>
      <c r="E267">
        <f>IF($H$266=E266,0,E266)</f>
        <v>0</v>
      </c>
      <c r="F267">
        <f>IF($H$266=F266,0,F266)</f>
        <v>0</v>
      </c>
      <c r="G267">
        <f>IF($H$266=G266,0,G266)</f>
        <v>0</v>
      </c>
      <c r="H267">
        <f>MAX(D267:G267)</f>
        <v>0</v>
      </c>
    </row>
    <row r="268" spans="3:11">
      <c r="C268" s="64" t="s">
        <v>189</v>
      </c>
      <c r="D268" s="64"/>
      <c r="E268" s="64"/>
      <c r="F268" s="64"/>
      <c r="G268" s="64"/>
      <c r="H268" s="64">
        <f>SUM(H266:H267)-H265</f>
        <v>0</v>
      </c>
    </row>
    <row r="271" spans="3:11">
      <c r="H271" s="185" t="s">
        <v>199</v>
      </c>
      <c r="J271" s="185" t="s">
        <v>200</v>
      </c>
      <c r="K271">
        <v>3</v>
      </c>
    </row>
    <row r="272" spans="3:11">
      <c r="G272" s="185" t="s">
        <v>165</v>
      </c>
      <c r="H272" s="186">
        <v>3600</v>
      </c>
      <c r="I272" s="186">
        <v>18000</v>
      </c>
      <c r="J272" s="186">
        <v>0</v>
      </c>
      <c r="K272" s="186">
        <v>0</v>
      </c>
    </row>
    <row r="273" spans="2:11">
      <c r="G273" s="185" t="s">
        <v>56</v>
      </c>
      <c r="H273" s="186">
        <v>667</v>
      </c>
      <c r="I273" s="186">
        <v>18000</v>
      </c>
      <c r="J273" s="186"/>
      <c r="K273" s="186"/>
    </row>
    <row r="274" spans="2:11">
      <c r="G274" s="185" t="s">
        <v>16</v>
      </c>
      <c r="H274" s="186">
        <v>360</v>
      </c>
      <c r="I274" s="186">
        <v>18000</v>
      </c>
      <c r="J274" s="186"/>
      <c r="K274" s="186"/>
    </row>
    <row r="276" spans="2:11">
      <c r="B276" t="s">
        <v>196</v>
      </c>
      <c r="C276" s="171">
        <v>39630</v>
      </c>
      <c r="D276" s="171">
        <v>39448</v>
      </c>
      <c r="G276" s="185" t="s">
        <v>165</v>
      </c>
      <c r="H276">
        <f>H268</f>
        <v>0</v>
      </c>
    </row>
    <row r="277" spans="2:11">
      <c r="B277" s="127" t="s">
        <v>165</v>
      </c>
      <c r="C277" s="128">
        <v>7.0000000000000007E-2</v>
      </c>
      <c r="D277" s="172">
        <v>0</v>
      </c>
      <c r="G277" s="185" t="s">
        <v>16</v>
      </c>
      <c r="H277" s="187">
        <f>IF('Ark18'!C11&lt;6,0,IF('Ark18'!C11&lt;40,25*'Ark18'!C11,IF('Ark18'!C11&lt;40,0*'Ark18'!C11+1000,1000)))</f>
        <v>0</v>
      </c>
    </row>
    <row r="278" spans="2:11">
      <c r="B278" s="131" t="s">
        <v>6</v>
      </c>
      <c r="C278" s="132">
        <v>0</v>
      </c>
      <c r="D278" s="172">
        <v>0</v>
      </c>
      <c r="G278" s="185"/>
    </row>
    <row r="279" spans="2:11">
      <c r="B279" s="131" t="s">
        <v>79</v>
      </c>
      <c r="C279" s="132">
        <v>0.6</v>
      </c>
      <c r="D279" s="172">
        <v>0</v>
      </c>
    </row>
    <row r="280" spans="2:11">
      <c r="B280" s="131" t="s">
        <v>136</v>
      </c>
      <c r="C280" s="132">
        <v>0</v>
      </c>
      <c r="D280" s="172"/>
    </row>
    <row r="281" spans="2:11">
      <c r="B281" s="131" t="s">
        <v>81</v>
      </c>
      <c r="C281" s="132">
        <v>0</v>
      </c>
      <c r="D281" s="172">
        <v>0</v>
      </c>
    </row>
    <row r="282" spans="2:11">
      <c r="B282" s="131" t="s">
        <v>123</v>
      </c>
      <c r="C282" s="132">
        <v>0.08</v>
      </c>
      <c r="D282" s="172">
        <v>0</v>
      </c>
    </row>
    <row r="283" spans="2:11">
      <c r="B283" s="184" t="s">
        <v>51</v>
      </c>
      <c r="C283" s="267">
        <v>7.0000000000000007E-2</v>
      </c>
      <c r="D283" s="172"/>
    </row>
    <row r="284" spans="2:11">
      <c r="B284" s="131" t="s">
        <v>169</v>
      </c>
      <c r="C284" s="132">
        <v>0.05</v>
      </c>
      <c r="D284" s="172"/>
    </row>
    <row r="285" spans="2:11">
      <c r="B285" s="131" t="s">
        <v>69</v>
      </c>
      <c r="C285" s="132">
        <v>7.0000000000000007E-2</v>
      </c>
      <c r="D285" s="172"/>
    </row>
    <row r="286" spans="2:11">
      <c r="B286" s="131" t="s">
        <v>80</v>
      </c>
      <c r="C286" s="132">
        <v>0</v>
      </c>
      <c r="D286" s="172">
        <v>0</v>
      </c>
    </row>
    <row r="287" spans="2:11">
      <c r="B287" s="131" t="s">
        <v>38</v>
      </c>
      <c r="C287" s="132">
        <v>0.1</v>
      </c>
      <c r="D287" s="172">
        <v>0</v>
      </c>
    </row>
    <row r="288" spans="2:11">
      <c r="B288" s="184" t="s">
        <v>145</v>
      </c>
      <c r="C288" s="190">
        <v>0.02</v>
      </c>
      <c r="D288" s="173">
        <v>0</v>
      </c>
    </row>
    <row r="289" spans="2:4">
      <c r="B289" s="184" t="s">
        <v>62</v>
      </c>
      <c r="C289" s="134">
        <v>0.02</v>
      </c>
      <c r="D289" s="173">
        <v>0</v>
      </c>
    </row>
    <row r="293" spans="2:4">
      <c r="B293" t="s">
        <v>198</v>
      </c>
      <c r="C293">
        <v>0</v>
      </c>
    </row>
    <row r="295" spans="2:4">
      <c r="B295" t="s">
        <v>78</v>
      </c>
      <c r="C295">
        <v>0</v>
      </c>
    </row>
    <row r="299" spans="2:4">
      <c r="C299">
        <f>1.5</f>
        <v>1.5</v>
      </c>
    </row>
    <row r="300" spans="2:4">
      <c r="C300">
        <v>26.22</v>
      </c>
    </row>
    <row r="301" spans="2:4">
      <c r="C301">
        <f>C299/C300</f>
        <v>5.7208237986270026E-2</v>
      </c>
    </row>
    <row r="306" spans="2:4">
      <c r="B306" s="140" t="s">
        <v>115</v>
      </c>
      <c r="C306" s="165"/>
      <c r="D306" s="133" t="s">
        <v>5</v>
      </c>
    </row>
  </sheetData>
  <customSheetViews>
    <customSheetView guid="{CCA592C6-FA5B-4C3F-AAFD-7D399E08D11C}" fitToPage="1" topLeftCell="A87">
      <selection activeCell="H116" sqref="H116"/>
      <pageMargins left="0.78740157499999996" right="0.78740157499999996" top="0.984251969" bottom="0.984251969" header="0.5" footer="0.5"/>
      <pageSetup paperSize="9" scale="12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scale="12" orientation="landscape" r:id="rId2"/>
  <headerFooter alignWithMargins="0">
    <oddHeader>&amp;A</oddHeader>
    <oddFooter>Side 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"/>
  <sheetViews>
    <sheetView workbookViewId="0">
      <selection activeCell="E129" sqref="E129"/>
    </sheetView>
  </sheetViews>
  <sheetFormatPr baseColWidth="10" defaultColWidth="9.140625" defaultRowHeight="12.75"/>
  <sheetData/>
  <customSheetViews>
    <customSheetView guid="{CCA592C6-FA5B-4C3F-AAFD-7D399E08D11C}" state="hidden" topLeftCell="A7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/>
  <dimension ref="A1"/>
  <sheetViews>
    <sheetView workbookViewId="0">
      <selection activeCell="E129" sqref="E129"/>
    </sheetView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9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0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7</vt:i4>
      </vt:variant>
    </vt:vector>
  </HeadingPairs>
  <TitlesOfParts>
    <vt:vector size="29" baseType="lpstr">
      <vt:lpstr>tilbud</vt:lpstr>
      <vt:lpstr>Utslag</vt:lpstr>
      <vt:lpstr>Satser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</vt:lpstr>
      <vt:lpstr>Ark2</vt:lpstr>
      <vt:lpstr>Ark3</vt:lpstr>
      <vt:lpstr>Ark4</vt:lpstr>
      <vt:lpstr>Ark17</vt:lpstr>
      <vt:lpstr>Ark18</vt:lpstr>
      <vt:lpstr>Ark19</vt:lpstr>
      <vt:lpstr>AK_korn3</vt:lpstr>
      <vt:lpstr>AKkorn2</vt:lpstr>
      <vt:lpstr>dismelk</vt:lpstr>
      <vt:lpstr>innm</vt:lpstr>
      <vt:lpstr>nyttak</vt:lpstr>
      <vt:lpstr>pleie</vt:lpstr>
      <vt:lpstr>Utslag!Utskriftsområde</vt:lpstr>
    </vt:vector>
  </TitlesOfParts>
  <Company>Norges Bondelag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Bondelag</dc:creator>
  <cp:lastModifiedBy>AJH</cp:lastModifiedBy>
  <cp:lastPrinted>2014-05-07T17:40:53Z</cp:lastPrinted>
  <dcterms:created xsi:type="dcterms:W3CDTF">2000-05-18T12:37:17Z</dcterms:created>
  <dcterms:modified xsi:type="dcterms:W3CDTF">2015-05-15T07:55:57Z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o">
    <vt:lpwstr>3561</vt:lpwstr>
  </property>
  <property fmtid="{D5CDD505-2E9C-101B-9397-08002B2CF9AE}" pid="3" name="edkid">
    <vt:lpwstr>134653</vt:lpwstr>
  </property>
  <property fmtid="{D5CDD505-2E9C-101B-9397-08002B2CF9AE}" pid="4" name="orgfilname">
    <vt:lpwstr/>
  </property>
  <property fmtid="{D5CDD505-2E9C-101B-9397-08002B2CF9AE}" pid="5" name="modus">
    <vt:lpwstr/>
  </property>
  <property fmtid="{D5CDD505-2E9C-101B-9397-08002B2CF9AE}" pid="6" name="openfile">
    <vt:lpwstr>\\osl-doculive1\dl_fileload\download\AOLedsaak\ALEDSAAK134653.xls</vt:lpwstr>
  </property>
  <property fmtid="{D5CDD505-2E9C-101B-9397-08002B2CF9AE}" pid="7" name="LOGON_USER">
    <vt:lpwstr>ALEDSAAK</vt:lpwstr>
  </property>
  <property fmtid="{D5CDD505-2E9C-101B-9397-08002B2CF9AE}" pid="8" name="fileisreserved">
    <vt:lpwstr>Y</vt:lpwstr>
  </property>
  <property fmtid="{D5CDD505-2E9C-101B-9397-08002B2CF9AE}" pid="9" name="RootFolder">
    <vt:lpwstr>http://osl-doculive1/dokumentarkiv_sak</vt:lpwstr>
  </property>
  <property fmtid="{D5CDD505-2E9C-101B-9397-08002B2CF9AE}" pid="10" name="File_transfer_method">
    <vt:lpwstr>UNC</vt:lpwstr>
  </property>
  <property fmtid="{D5CDD505-2E9C-101B-9397-08002B2CF9AE}" pid="11" name="UNC_checkin_directory">
    <vt:lpwstr>\\osl-doculive1\dl_fileload\upload\</vt:lpwstr>
  </property>
  <property fmtid="{D5CDD505-2E9C-101B-9397-08002B2CF9AE}" pid="12" name="FTP_checkin_directory">
    <vt:lpwstr/>
  </property>
</Properties>
</file>