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9570" windowHeight="5745" tabRatio="840"/>
  </bookViews>
  <sheets>
    <sheet name="Hoved" sheetId="1" r:id="rId1"/>
    <sheet name="Hoved2" sheetId="14" r:id="rId2"/>
    <sheet name="Ark1" sheetId="15" r:id="rId3"/>
  </sheets>
  <definedNames>
    <definedName name="_xlnm.Criteria">Hoved!#REF!</definedName>
    <definedName name="_xlnm.Print_Area" localSheetId="0">Hoved!$A$3:$H$206</definedName>
    <definedName name="_xlnm.Print_Area" localSheetId="1">Hoved2!$A$2:$I$235</definedName>
    <definedName name="_xlnm.Extract">Hoved!#REF!</definedName>
  </definedNames>
  <calcPr calcId="125725"/>
</workbook>
</file>

<file path=xl/calcChain.xml><?xml version="1.0" encoding="utf-8"?>
<calcChain xmlns="http://schemas.openxmlformats.org/spreadsheetml/2006/main">
  <c r="G80" i="1"/>
  <c r="N209" i="14"/>
  <c r="K210"/>
  <c r="K209"/>
  <c r="I42"/>
  <c r="I132"/>
  <c r="G50" i="1"/>
  <c r="G70"/>
  <c r="G75"/>
  <c r="G128" i="14" l="1"/>
  <c r="G129"/>
  <c r="G131"/>
  <c r="G130"/>
  <c r="G127"/>
  <c r="G126"/>
  <c r="G125"/>
  <c r="G124"/>
  <c r="G123"/>
  <c r="G122"/>
  <c r="G121"/>
  <c r="G120"/>
  <c r="G167"/>
  <c r="G166"/>
  <c r="G164"/>
  <c r="G163"/>
  <c r="G146"/>
  <c r="G145"/>
  <c r="G143"/>
  <c r="G142"/>
  <c r="G156"/>
  <c r="G155"/>
  <c r="G152"/>
  <c r="G45"/>
  <c r="G43"/>
  <c r="G36"/>
  <c r="G35"/>
  <c r="G32"/>
  <c r="G31"/>
  <c r="G5"/>
  <c r="G6"/>
  <c r="G7"/>
  <c r="G4"/>
  <c r="I33"/>
  <c r="I11"/>
  <c r="G117" i="1"/>
  <c r="N84" l="1"/>
  <c r="N83"/>
  <c r="N81"/>
  <c r="N80"/>
  <c r="N76"/>
  <c r="G55"/>
  <c r="G83"/>
  <c r="I61" i="14"/>
  <c r="I60"/>
  <c r="J60"/>
  <c r="J61" s="1"/>
  <c r="D102" i="1"/>
  <c r="D100"/>
  <c r="C28"/>
  <c r="C27"/>
  <c r="C23"/>
  <c r="E34" i="14" l="1"/>
  <c r="G3" i="1" l="1"/>
  <c r="H60" i="14"/>
  <c r="H185" l="1"/>
  <c r="I185" l="1"/>
  <c r="J185" s="1"/>
  <c r="E56"/>
  <c r="E7" l="1"/>
  <c r="E6"/>
  <c r="E5"/>
  <c r="E4" l="1"/>
  <c r="I32"/>
  <c r="H32"/>
  <c r="J32" s="1"/>
  <c r="H55"/>
  <c r="J55" s="1"/>
  <c r="I55"/>
  <c r="E26"/>
  <c r="H24"/>
  <c r="J24" s="1"/>
  <c r="I24"/>
  <c r="H25"/>
  <c r="J25" s="1"/>
  <c r="I25"/>
  <c r="H51"/>
  <c r="J51" s="1"/>
  <c r="I51"/>
  <c r="H39"/>
  <c r="J39" s="1"/>
  <c r="I39"/>
  <c r="H21"/>
  <c r="E42"/>
  <c r="H41"/>
  <c r="J41" s="1"/>
  <c r="H29"/>
  <c r="J29" s="1"/>
  <c r="I29"/>
  <c r="E30"/>
  <c r="H143"/>
  <c r="I96"/>
  <c r="H48" l="1"/>
  <c r="H49"/>
  <c r="H50"/>
  <c r="H55" i="1" l="1"/>
  <c r="I63" i="14"/>
  <c r="F229"/>
  <c r="G229" s="1"/>
  <c r="F228"/>
  <c r="G228" s="1"/>
  <c r="F227"/>
  <c r="G227" s="1"/>
  <c r="F226"/>
  <c r="G226" s="1"/>
  <c r="F225"/>
  <c r="G225" s="1"/>
  <c r="F224"/>
  <c r="G224" s="1"/>
  <c r="F223"/>
  <c r="G223" s="1"/>
  <c r="F222"/>
  <c r="G222" s="1"/>
  <c r="F221"/>
  <c r="G221" s="1"/>
  <c r="F220"/>
  <c r="G220" s="1"/>
  <c r="F219"/>
  <c r="G219" s="1"/>
  <c r="F217"/>
  <c r="G217" s="1"/>
  <c r="G215"/>
  <c r="G214"/>
  <c r="F213"/>
  <c r="G213" s="1"/>
  <c r="F212"/>
  <c r="G212" s="1"/>
  <c r="H34" i="1" l="1"/>
  <c r="D103" l="1"/>
  <c r="D105" l="1"/>
  <c r="J143" i="14"/>
  <c r="I64"/>
  <c r="H64"/>
  <c r="J64" s="1"/>
  <c r="G150" i="1" l="1"/>
  <c r="G204"/>
  <c r="H204" s="1"/>
  <c r="G205"/>
  <c r="H205" s="1"/>
  <c r="G206"/>
  <c r="H206" s="1"/>
  <c r="G207"/>
  <c r="H207" s="1"/>
  <c r="G208"/>
  <c r="H208" s="1"/>
  <c r="G209"/>
  <c r="H209" s="1"/>
  <c r="G210"/>
  <c r="H210" s="1"/>
  <c r="G25" l="1"/>
  <c r="E12" i="14"/>
  <c r="E183" l="1"/>
  <c r="F10"/>
  <c r="H4"/>
  <c r="H5"/>
  <c r="H6"/>
  <c r="D182" i="1"/>
  <c r="D29"/>
  <c r="H85" l="1"/>
  <c r="H65" i="14"/>
  <c r="J65" s="1"/>
  <c r="I65"/>
  <c r="G10" l="1"/>
  <c r="H10" s="1"/>
  <c r="J10" s="1"/>
  <c r="H9"/>
  <c r="J9" s="1"/>
  <c r="I10" l="1"/>
  <c r="I9" l="1"/>
  <c r="B34" i="1"/>
  <c r="G162"/>
  <c r="G161"/>
  <c r="G34" l="1"/>
  <c r="H166" i="14"/>
  <c r="J166" s="1"/>
  <c r="H155"/>
  <c r="J155" s="1"/>
  <c r="I145"/>
  <c r="G188" i="1"/>
  <c r="H196" i="14"/>
  <c r="J196" s="1"/>
  <c r="H197"/>
  <c r="J197" s="1"/>
  <c r="H198"/>
  <c r="J198" s="1"/>
  <c r="H200"/>
  <c r="J200" s="1"/>
  <c r="I188" i="1"/>
  <c r="D216" i="14"/>
  <c r="D211"/>
  <c r="H199"/>
  <c r="J199" s="1"/>
  <c r="H195"/>
  <c r="J195" s="1"/>
  <c r="H194"/>
  <c r="J194" s="1"/>
  <c r="H193"/>
  <c r="J193" s="1"/>
  <c r="H192"/>
  <c r="J192" s="1"/>
  <c r="H191"/>
  <c r="J191" s="1"/>
  <c r="H190"/>
  <c r="J190" s="1"/>
  <c r="H189"/>
  <c r="J189" s="1"/>
  <c r="H182"/>
  <c r="J182" s="1"/>
  <c r="H181"/>
  <c r="J181" s="1"/>
  <c r="H180"/>
  <c r="J180" s="1"/>
  <c r="H179"/>
  <c r="J179" s="1"/>
  <c r="H178"/>
  <c r="J178" s="1"/>
  <c r="H177"/>
  <c r="J177" s="1"/>
  <c r="E165"/>
  <c r="H167"/>
  <c r="J167" s="1"/>
  <c r="I167"/>
  <c r="E168"/>
  <c r="E157"/>
  <c r="E154"/>
  <c r="E147"/>
  <c r="E144"/>
  <c r="E115"/>
  <c r="E113"/>
  <c r="E110"/>
  <c r="E107"/>
  <c r="E104"/>
  <c r="E101"/>
  <c r="E98"/>
  <c r="E61"/>
  <c r="E52"/>
  <c r="E47"/>
  <c r="D151" i="1"/>
  <c r="D114"/>
  <c r="H41"/>
  <c r="H79"/>
  <c r="H40" s="1"/>
  <c r="G79"/>
  <c r="G40" s="1"/>
  <c r="H72"/>
  <c r="H39" s="1"/>
  <c r="H65"/>
  <c r="H38" s="1"/>
  <c r="H36"/>
  <c r="G36"/>
  <c r="H51"/>
  <c r="H35" s="1"/>
  <c r="G51"/>
  <c r="G35" s="1"/>
  <c r="H37"/>
  <c r="G37"/>
  <c r="E29"/>
  <c r="G28"/>
  <c r="G27"/>
  <c r="G26"/>
  <c r="G24"/>
  <c r="G23"/>
  <c r="G172"/>
  <c r="I172"/>
  <c r="I199"/>
  <c r="G199"/>
  <c r="G64" s="1"/>
  <c r="I192"/>
  <c r="G192"/>
  <c r="I191"/>
  <c r="G191"/>
  <c r="I190"/>
  <c r="G190"/>
  <c r="G189"/>
  <c r="I189"/>
  <c r="G182"/>
  <c r="G62" s="1"/>
  <c r="I173"/>
  <c r="G173"/>
  <c r="I171"/>
  <c r="G171"/>
  <c r="D164"/>
  <c r="I163"/>
  <c r="G163"/>
  <c r="I161"/>
  <c r="I160"/>
  <c r="G160"/>
  <c r="I159"/>
  <c r="G159"/>
  <c r="I158"/>
  <c r="G158"/>
  <c r="I157"/>
  <c r="G157"/>
  <c r="I156"/>
  <c r="G156"/>
  <c r="I155"/>
  <c r="G155"/>
  <c r="I154"/>
  <c r="G154"/>
  <c r="I153"/>
  <c r="G153"/>
  <c r="I149"/>
  <c r="G149"/>
  <c r="I148"/>
  <c r="G148"/>
  <c r="D140"/>
  <c r="I139"/>
  <c r="G139"/>
  <c r="I138"/>
  <c r="G138"/>
  <c r="I137"/>
  <c r="G137"/>
  <c r="I136"/>
  <c r="G136"/>
  <c r="I135"/>
  <c r="G135"/>
  <c r="I134"/>
  <c r="G134"/>
  <c r="I133"/>
  <c r="G133"/>
  <c r="I132"/>
  <c r="G132"/>
  <c r="I131"/>
  <c r="G131"/>
  <c r="I130"/>
  <c r="G130"/>
  <c r="I128"/>
  <c r="G128"/>
  <c r="I123"/>
  <c r="G123"/>
  <c r="G57" s="1"/>
  <c r="G113"/>
  <c r="G112"/>
  <c r="G111"/>
  <c r="G104"/>
  <c r="G101"/>
  <c r="G99"/>
  <c r="G98"/>
  <c r="G97"/>
  <c r="G96"/>
  <c r="I233" i="14"/>
  <c r="I230" s="1"/>
  <c r="H233"/>
  <c r="H229"/>
  <c r="H228"/>
  <c r="H227"/>
  <c r="H226"/>
  <c r="H225"/>
  <c r="H224"/>
  <c r="H223"/>
  <c r="H222"/>
  <c r="H221"/>
  <c r="H220"/>
  <c r="H219"/>
  <c r="H217"/>
  <c r="H215"/>
  <c r="H214"/>
  <c r="H213"/>
  <c r="H212"/>
  <c r="H210"/>
  <c r="H209"/>
  <c r="I200"/>
  <c r="I199"/>
  <c r="I198"/>
  <c r="I197"/>
  <c r="I196"/>
  <c r="I195"/>
  <c r="I194"/>
  <c r="I193"/>
  <c r="I192"/>
  <c r="I191"/>
  <c r="I190"/>
  <c r="I189"/>
  <c r="I186"/>
  <c r="I182"/>
  <c r="I181"/>
  <c r="I180"/>
  <c r="I179"/>
  <c r="I178"/>
  <c r="I177"/>
  <c r="I156"/>
  <c r="H156"/>
  <c r="J156" s="1"/>
  <c r="I153"/>
  <c r="H153"/>
  <c r="J153" s="1"/>
  <c r="I152"/>
  <c r="H152"/>
  <c r="J152" s="1"/>
  <c r="I146"/>
  <c r="H146"/>
  <c r="J146" s="1"/>
  <c r="H145"/>
  <c r="J145" s="1"/>
  <c r="I143"/>
  <c r="E138"/>
  <c r="E87" s="1"/>
  <c r="I137"/>
  <c r="H137"/>
  <c r="J137" s="1"/>
  <c r="I136"/>
  <c r="H136"/>
  <c r="J136" s="1"/>
  <c r="E132"/>
  <c r="E86" s="1"/>
  <c r="I131"/>
  <c r="H131"/>
  <c r="J131" s="1"/>
  <c r="I130"/>
  <c r="H130"/>
  <c r="J130" s="1"/>
  <c r="I129"/>
  <c r="H129"/>
  <c r="J129" s="1"/>
  <c r="I128"/>
  <c r="H128"/>
  <c r="J128" s="1"/>
  <c r="I127"/>
  <c r="H127"/>
  <c r="J127" s="1"/>
  <c r="I126"/>
  <c r="H126"/>
  <c r="J126" s="1"/>
  <c r="I125"/>
  <c r="H125"/>
  <c r="J125" s="1"/>
  <c r="I124"/>
  <c r="H124"/>
  <c r="J124" s="1"/>
  <c r="I123"/>
  <c r="H123"/>
  <c r="J123" s="1"/>
  <c r="I122"/>
  <c r="H122"/>
  <c r="J122" s="1"/>
  <c r="I121"/>
  <c r="H121"/>
  <c r="J121" s="1"/>
  <c r="I120"/>
  <c r="H120"/>
  <c r="J120" s="1"/>
  <c r="I114"/>
  <c r="I115" s="1"/>
  <c r="H114"/>
  <c r="J114" s="1"/>
  <c r="I112"/>
  <c r="H112"/>
  <c r="J112" s="1"/>
  <c r="I111"/>
  <c r="H111"/>
  <c r="J111" s="1"/>
  <c r="I109"/>
  <c r="H109"/>
  <c r="J109" s="1"/>
  <c r="I108"/>
  <c r="H108"/>
  <c r="J108" s="1"/>
  <c r="I106"/>
  <c r="H106"/>
  <c r="J106" s="1"/>
  <c r="I105"/>
  <c r="H105"/>
  <c r="J105" s="1"/>
  <c r="I103"/>
  <c r="H103"/>
  <c r="J103" s="1"/>
  <c r="I102"/>
  <c r="H102"/>
  <c r="J102" s="1"/>
  <c r="I100"/>
  <c r="H100"/>
  <c r="J100" s="1"/>
  <c r="I99"/>
  <c r="H99"/>
  <c r="J99" s="1"/>
  <c r="I97"/>
  <c r="H97"/>
  <c r="J97" s="1"/>
  <c r="F84"/>
  <c r="E84"/>
  <c r="H83"/>
  <c r="E80"/>
  <c r="I78"/>
  <c r="H78"/>
  <c r="J78" s="1"/>
  <c r="I77"/>
  <c r="H77"/>
  <c r="J77" s="1"/>
  <c r="I75"/>
  <c r="H75"/>
  <c r="J75" s="1"/>
  <c r="I74"/>
  <c r="H74"/>
  <c r="J74" s="1"/>
  <c r="H66"/>
  <c r="H63"/>
  <c r="I62"/>
  <c r="H62"/>
  <c r="J62" s="1"/>
  <c r="I59"/>
  <c r="H59"/>
  <c r="J59" s="1"/>
  <c r="I58"/>
  <c r="H58"/>
  <c r="J58" s="1"/>
  <c r="I57"/>
  <c r="H57"/>
  <c r="J57" s="1"/>
  <c r="I54"/>
  <c r="H54"/>
  <c r="J54" s="1"/>
  <c r="I53"/>
  <c r="H53"/>
  <c r="J53" s="1"/>
  <c r="I50"/>
  <c r="J50"/>
  <c r="I49"/>
  <c r="J49"/>
  <c r="I48"/>
  <c r="J48"/>
  <c r="I46"/>
  <c r="H46"/>
  <c r="J46" s="1"/>
  <c r="I45"/>
  <c r="H45"/>
  <c r="J45" s="1"/>
  <c r="I44"/>
  <c r="H44"/>
  <c r="J44" s="1"/>
  <c r="I43"/>
  <c r="H43"/>
  <c r="J43" s="1"/>
  <c r="I40"/>
  <c r="H40"/>
  <c r="J40" s="1"/>
  <c r="I38"/>
  <c r="H38"/>
  <c r="J38" s="1"/>
  <c r="I37"/>
  <c r="H37"/>
  <c r="J37" s="1"/>
  <c r="I36"/>
  <c r="H36"/>
  <c r="J36" s="1"/>
  <c r="I35"/>
  <c r="H35"/>
  <c r="J35" s="1"/>
  <c r="I31"/>
  <c r="I34" s="1"/>
  <c r="H31"/>
  <c r="J31" s="1"/>
  <c r="J34" s="1"/>
  <c r="I28"/>
  <c r="H28"/>
  <c r="J28" s="1"/>
  <c r="I27"/>
  <c r="H27"/>
  <c r="J27" s="1"/>
  <c r="I23"/>
  <c r="I26" s="1"/>
  <c r="H23"/>
  <c r="J23" s="1"/>
  <c r="J26" s="1"/>
  <c r="I20"/>
  <c r="H20"/>
  <c r="J20" s="1"/>
  <c r="I19"/>
  <c r="H19"/>
  <c r="J19" s="1"/>
  <c r="I18"/>
  <c r="H18"/>
  <c r="J18" s="1"/>
  <c r="J17"/>
  <c r="I17"/>
  <c r="H17"/>
  <c r="H84" s="1"/>
  <c r="I7"/>
  <c r="F7"/>
  <c r="I6"/>
  <c r="I5"/>
  <c r="J5"/>
  <c r="I4"/>
  <c r="J4"/>
  <c r="D2" i="1"/>
  <c r="K96"/>
  <c r="N96" s="1"/>
  <c r="K97"/>
  <c r="N97" s="1"/>
  <c r="N98"/>
  <c r="B1" i="14"/>
  <c r="C1"/>
  <c r="E1"/>
  <c r="G1"/>
  <c r="A1"/>
  <c r="J6"/>
  <c r="I80" l="1"/>
  <c r="G68" i="1" s="1"/>
  <c r="D1" i="14"/>
  <c r="I56"/>
  <c r="J56"/>
  <c r="I30"/>
  <c r="J30"/>
  <c r="J42"/>
  <c r="J113"/>
  <c r="J101"/>
  <c r="J104"/>
  <c r="J107"/>
  <c r="J110"/>
  <c r="E169"/>
  <c r="E158"/>
  <c r="E148"/>
  <c r="E88" s="1"/>
  <c r="J63"/>
  <c r="G151" i="1"/>
  <c r="G100"/>
  <c r="I174"/>
  <c r="I155" i="14"/>
  <c r="J157" s="1"/>
  <c r="I151" i="1"/>
  <c r="G102"/>
  <c r="K99"/>
  <c r="I140"/>
  <c r="I141" s="1"/>
  <c r="G174"/>
  <c r="G60" s="1"/>
  <c r="G114"/>
  <c r="G43" s="1"/>
  <c r="G9" s="1"/>
  <c r="I164"/>
  <c r="G164"/>
  <c r="H42"/>
  <c r="H86"/>
  <c r="I138" i="14"/>
  <c r="I87" s="1"/>
  <c r="I166"/>
  <c r="J168" s="1"/>
  <c r="I47"/>
  <c r="I52"/>
  <c r="I101"/>
  <c r="J138"/>
  <c r="J87" s="1"/>
  <c r="I235"/>
  <c r="E186"/>
  <c r="I104"/>
  <c r="I84"/>
  <c r="J84"/>
  <c r="I201"/>
  <c r="I110"/>
  <c r="J80"/>
  <c r="N99" i="1"/>
  <c r="G132" i="14"/>
  <c r="J201"/>
  <c r="I183"/>
  <c r="J186"/>
  <c r="J132"/>
  <c r="J86" s="1"/>
  <c r="I154"/>
  <c r="J115"/>
  <c r="H7"/>
  <c r="J7" s="1"/>
  <c r="J12" s="1"/>
  <c r="I107"/>
  <c r="I113"/>
  <c r="E116"/>
  <c r="E85" s="1"/>
  <c r="G140" i="1"/>
  <c r="J183" i="14"/>
  <c r="J147"/>
  <c r="J47"/>
  <c r="I147"/>
  <c r="J154"/>
  <c r="J52"/>
  <c r="I12"/>
  <c r="G85" i="1" l="1"/>
  <c r="G41" s="1"/>
  <c r="G103"/>
  <c r="F103" s="1"/>
  <c r="J158" i="14"/>
  <c r="D200" i="1"/>
  <c r="G200" s="1"/>
  <c r="C29"/>
  <c r="G29" s="1"/>
  <c r="G30" s="1"/>
  <c r="G11" s="1"/>
  <c r="K101"/>
  <c r="K102" s="1"/>
  <c r="I86" i="14"/>
  <c r="I157"/>
  <c r="I158" s="1"/>
  <c r="I168"/>
  <c r="I165" i="1"/>
  <c r="G165"/>
  <c r="G59" s="1"/>
  <c r="E170" i="14"/>
  <c r="E89" s="1"/>
  <c r="E91" s="1"/>
  <c r="E83" s="1"/>
  <c r="I83" s="1"/>
  <c r="J83" s="1"/>
  <c r="J203"/>
  <c r="I203"/>
  <c r="G71" i="1" s="1"/>
  <c r="G141"/>
  <c r="G58" s="1"/>
  <c r="F140"/>
  <c r="G66"/>
  <c r="G105" l="1"/>
  <c r="F105" s="1"/>
  <c r="G187"/>
  <c r="G193" s="1"/>
  <c r="D193"/>
  <c r="I187"/>
  <c r="I193" s="1"/>
  <c r="G63" l="1"/>
  <c r="G65" s="1"/>
  <c r="G38" s="1"/>
  <c r="I1" i="14"/>
  <c r="H96"/>
  <c r="J96" s="1"/>
  <c r="J98" s="1"/>
  <c r="J116" l="1"/>
  <c r="J85" s="1"/>
  <c r="I98"/>
  <c r="I116" s="1"/>
  <c r="I85" s="1"/>
  <c r="I142"/>
  <c r="I144" s="1"/>
  <c r="I148" s="1"/>
  <c r="I88" s="1"/>
  <c r="H142" l="1"/>
  <c r="J142" s="1"/>
  <c r="J144" s="1"/>
  <c r="J148" s="1"/>
  <c r="J88" s="1"/>
  <c r="H164"/>
  <c r="J164" s="1"/>
  <c r="H163"/>
  <c r="J163" s="1"/>
  <c r="I164"/>
  <c r="I163"/>
  <c r="I165" l="1"/>
  <c r="I169" s="1"/>
  <c r="I170" s="1"/>
  <c r="I89" s="1"/>
  <c r="I91" s="1"/>
  <c r="G69" i="1" s="1"/>
  <c r="J165" i="14"/>
  <c r="J169" s="1"/>
  <c r="J170" s="1"/>
  <c r="J89" s="1"/>
  <c r="J91" s="1"/>
  <c r="E22"/>
  <c r="J21"/>
  <c r="J22" s="1"/>
  <c r="J68" s="1"/>
  <c r="I21"/>
  <c r="I22" s="1"/>
  <c r="I68" l="1"/>
  <c r="G67" i="1" s="1"/>
  <c r="G72" s="1"/>
  <c r="G39" s="1"/>
  <c r="G42" s="1"/>
  <c r="G8" s="1"/>
  <c r="G10" s="1"/>
  <c r="G86" l="1"/>
  <c r="H2"/>
  <c r="G12"/>
  <c r="G14" s="1"/>
  <c r="H1" i="14" l="1"/>
  <c r="J2" i="1"/>
  <c r="G16"/>
  <c r="J1" i="14" l="1"/>
  <c r="F2" i="1"/>
  <c r="F1" i="14"/>
</calcChain>
</file>

<file path=xl/comments1.xml><?xml version="1.0" encoding="utf-8"?>
<comments xmlns="http://schemas.openxmlformats.org/spreadsheetml/2006/main">
  <authors>
    <author>Torgeir Gjølberg</author>
  </authors>
  <commentList>
    <comment ref="C21" authorId="0">
      <text>
        <r>
          <rPr>
            <b/>
            <sz val="9"/>
            <color indexed="81"/>
            <rFont val="Tahoma"/>
            <family val="2"/>
          </rPr>
          <t>Torgeir Gjølberg:</t>
        </r>
        <r>
          <rPr>
            <sz val="9"/>
            <color indexed="81"/>
            <rFont val="Tahoma"/>
            <family val="2"/>
          </rPr>
          <t xml:space="preserve">
Tall fra totalkalkylen utredning nr. 1  av 7.4.2014</t>
        </r>
      </text>
    </comment>
    <comment ref="G53" authorId="0">
      <text>
        <r>
          <rPr>
            <b/>
            <sz val="9"/>
            <color indexed="81"/>
            <rFont val="Tahoma"/>
            <family val="2"/>
          </rPr>
          <t>Torgeir Gjølberg:</t>
        </r>
        <r>
          <rPr>
            <sz val="9"/>
            <color indexed="81"/>
            <rFont val="Tahoma"/>
            <family val="2"/>
          </rPr>
          <t xml:space="preserve">
Må justeres tilsvarende endringer i målpriser på RÅK-varer</t>
        </r>
      </text>
    </comment>
    <comment ref="D96" authorId="0">
      <text>
        <r>
          <rPr>
            <b/>
            <sz val="9"/>
            <color indexed="81"/>
            <rFont val="Tahoma"/>
            <family val="2"/>
          </rPr>
          <t>Torgeir Gjølberg:</t>
        </r>
        <r>
          <rPr>
            <sz val="9"/>
            <color indexed="81"/>
            <rFont val="Tahoma"/>
            <family val="2"/>
          </rPr>
          <t xml:space="preserve">
Totalkalkyletall</t>
        </r>
      </text>
    </comment>
  </commentList>
</comments>
</file>

<file path=xl/comments2.xml><?xml version="1.0" encoding="utf-8"?>
<comments xmlns="http://schemas.openxmlformats.org/spreadsheetml/2006/main">
  <authors>
    <author>Løyland, Jon</author>
    <author>jonl</author>
    <author>Torgeir Gjølberg</author>
  </authors>
  <commentList>
    <comment ref="E53" authorId="0">
      <text>
        <r>
          <rPr>
            <b/>
            <sz val="9"/>
            <color indexed="81"/>
            <rFont val="Tahoma"/>
            <family val="2"/>
          </rPr>
          <t>Løyland, Jon:</t>
        </r>
        <r>
          <rPr>
            <sz val="9"/>
            <color indexed="81"/>
            <rFont val="Tahoma"/>
            <family val="2"/>
          </rPr>
          <t xml:space="preserve">
Merk at det er et maksimalantall på 1190000. Nå ligger det inne formel som justerer til dette antallet for intervallene hvor satsen er større enn 0
</t>
        </r>
      </text>
    </comment>
    <comment ref="F74" authorId="0">
      <text>
        <r>
          <rPr>
            <b/>
            <sz val="9"/>
            <color indexed="81"/>
            <rFont val="Tahoma"/>
            <family val="2"/>
          </rPr>
          <t>Løyland, Jon:</t>
        </r>
        <r>
          <rPr>
            <sz val="9"/>
            <color indexed="81"/>
            <rFont val="Tahoma"/>
            <family val="2"/>
          </rPr>
          <t xml:space="preserve">
Merk endelige satser som er lavere enn foreløpige
</t>
        </r>
      </text>
    </comment>
    <comment ref="E185" authorId="1">
      <text>
        <r>
          <rPr>
            <b/>
            <sz val="9"/>
            <color indexed="81"/>
            <rFont val="Tahoma"/>
            <family val="2"/>
          </rPr>
          <t>jonl:</t>
        </r>
        <r>
          <rPr>
            <sz val="9"/>
            <color indexed="81"/>
            <rFont val="Tahoma"/>
            <family val="2"/>
          </rPr>
          <t xml:space="preserve">
Areal i andre og tredje års karens. Bare dette vil få omleggingstilskudd for vekstsesongen 2014</t>
        </r>
      </text>
    </comment>
    <comment ref="A228" authorId="0">
      <text>
        <r>
          <rPr>
            <b/>
            <sz val="9"/>
            <color indexed="81"/>
            <rFont val="Tahoma"/>
            <family val="2"/>
          </rPr>
          <t>Løyland, Jon:</t>
        </r>
        <r>
          <rPr>
            <sz val="9"/>
            <color indexed="81"/>
            <rFont val="Tahoma"/>
            <family val="2"/>
          </rPr>
          <t xml:space="preserve">
Ilder ikke lenger med
</t>
        </r>
      </text>
    </comment>
    <comment ref="E233" authorId="2">
      <text>
        <r>
          <rPr>
            <b/>
            <sz val="8"/>
            <color indexed="81"/>
            <rFont val="Tahoma"/>
            <family val="2"/>
          </rPr>
          <t>Torgeir Gjølberg:</t>
        </r>
        <r>
          <rPr>
            <sz val="8"/>
            <color indexed="81"/>
            <rFont val="Tahoma"/>
            <family val="2"/>
          </rPr>
          <t xml:space="preserve">
Dette er det antall foretak som har maksimalsats og som ikke berøres av en økning maksbeløp. Men jo større en vet økt maks sats er, jo flere vil komme innenfor igjen, om vi ikke justerer satsene pr dyr tilsvarende. </t>
        </r>
      </text>
    </comment>
  </commentList>
</comments>
</file>

<file path=xl/sharedStrings.xml><?xml version="1.0" encoding="utf-8"?>
<sst xmlns="http://schemas.openxmlformats.org/spreadsheetml/2006/main" count="776" uniqueCount="406">
  <si>
    <t>Mill. kr</t>
  </si>
  <si>
    <t>År</t>
  </si>
  <si>
    <t>Justert pr.</t>
  </si>
  <si>
    <t>Ramme:</t>
  </si>
  <si>
    <t>Budsjett</t>
  </si>
  <si>
    <t>Kap. 1150, Jordbruksavtalen, utgifter</t>
  </si>
  <si>
    <t xml:space="preserve"> -</t>
  </si>
  <si>
    <t>Kap. 4150, Jordbruksavtalen, inntekter</t>
  </si>
  <si>
    <t>=</t>
  </si>
  <si>
    <t>Nettoeffekt av tilskudd</t>
  </si>
  <si>
    <t xml:space="preserve"> </t>
  </si>
  <si>
    <t>endring</t>
  </si>
  <si>
    <t>Total</t>
  </si>
  <si>
    <t>Kvantum</t>
  </si>
  <si>
    <t>Produkt</t>
  </si>
  <si>
    <t>mill.  kr</t>
  </si>
  <si>
    <t>Prisendring</t>
  </si>
  <si>
    <t>Endringer på kap. 1150 og 4150</t>
  </si>
  <si>
    <t>Endring</t>
  </si>
  <si>
    <t>Post</t>
  </si>
  <si>
    <t>mill. kr</t>
  </si>
  <si>
    <t>Fondsavsetninger</t>
  </si>
  <si>
    <t>Markedsregulering</t>
  </si>
  <si>
    <t>Pristilskudd</t>
  </si>
  <si>
    <t>Direkte tilskudd</t>
  </si>
  <si>
    <t>Utviklingstiltak</t>
  </si>
  <si>
    <t>Velferdsordninger</t>
  </si>
  <si>
    <t>SUM  KAP. 1150</t>
  </si>
  <si>
    <t>KAP. 4150 Post 80</t>
  </si>
  <si>
    <t>Benevning</t>
  </si>
  <si>
    <t>Tilskudd til norsk ull</t>
  </si>
  <si>
    <t>Pristilskudd melk</t>
  </si>
  <si>
    <t>Pristilskudd kjøtt</t>
  </si>
  <si>
    <t>Distrikts- og kvalitetstilskudd på frukt, bær og gr.sak.</t>
  </si>
  <si>
    <t>Frakttilskudd</t>
  </si>
  <si>
    <t>Markedsordningen for korn</t>
  </si>
  <si>
    <t>Tilskudd til økologisk jordbruk</t>
  </si>
  <si>
    <t>Tilskudd til fruktlager</t>
  </si>
  <si>
    <t xml:space="preserve">Tilskudd til sykepengeordningen i jordbruket </t>
  </si>
  <si>
    <t>1.000 tonn</t>
  </si>
  <si>
    <t>Kr / kg</t>
  </si>
  <si>
    <t>Prisendringer norsk korn</t>
  </si>
  <si>
    <t>Hvete, matkorn</t>
  </si>
  <si>
    <t>Rug, matkorn</t>
  </si>
  <si>
    <t>Såkorn</t>
  </si>
  <si>
    <t>Oljevekster</t>
  </si>
  <si>
    <t>Sum korn og oljevekster</t>
  </si>
  <si>
    <t>Sats</t>
  </si>
  <si>
    <t>Post 80</t>
  </si>
  <si>
    <t>Sildemel</t>
  </si>
  <si>
    <t>Sats-</t>
  </si>
  <si>
    <t>Behov</t>
  </si>
  <si>
    <t>Mill.   kg</t>
  </si>
  <si>
    <t>Gjeld.</t>
  </si>
  <si>
    <t>sats</t>
  </si>
  <si>
    <t>Mill.  l.</t>
  </si>
  <si>
    <t>Kr / l</t>
  </si>
  <si>
    <t>Geit</t>
  </si>
  <si>
    <t>Distriktstilskudd</t>
  </si>
  <si>
    <t>Sone  D</t>
  </si>
  <si>
    <t>Sone  E</t>
  </si>
  <si>
    <t>Sone  F</t>
  </si>
  <si>
    <t>Sone  G</t>
  </si>
  <si>
    <t>Sone  H</t>
  </si>
  <si>
    <t>Sone  I</t>
  </si>
  <si>
    <t>Sone  J</t>
  </si>
  <si>
    <t>Sum distriktstilskudd, melk</t>
  </si>
  <si>
    <t>Gris</t>
  </si>
  <si>
    <t>Sau</t>
  </si>
  <si>
    <t>Sum  grunntilskudd,  kjøtt</t>
  </si>
  <si>
    <t>Sone  1</t>
  </si>
  <si>
    <t>Sone  2</t>
  </si>
  <si>
    <t>Sone  3</t>
  </si>
  <si>
    <t>Sone  4</t>
  </si>
  <si>
    <t>Sone  5</t>
  </si>
  <si>
    <t>Sau,  sone 4</t>
  </si>
  <si>
    <t>Sau,  sone 5</t>
  </si>
  <si>
    <t>Sum distriktstilskudd,  kjøtt</t>
  </si>
  <si>
    <t>Antall</t>
  </si>
  <si>
    <t>Justert bevilgningsbehov, gjeldende satser</t>
  </si>
  <si>
    <t xml:space="preserve">           Intervall</t>
  </si>
  <si>
    <t xml:space="preserve">Endring </t>
  </si>
  <si>
    <t>Fra</t>
  </si>
  <si>
    <t>Til</t>
  </si>
  <si>
    <t>dyr</t>
  </si>
  <si>
    <t>kr/dyr</t>
  </si>
  <si>
    <t>mill. kr.</t>
  </si>
  <si>
    <t>Sum</t>
  </si>
  <si>
    <t>Storfe</t>
  </si>
  <si>
    <t>Mjølkegeit</t>
  </si>
  <si>
    <t>Avlsgris Nord-Norge</t>
  </si>
  <si>
    <t>Slaktegris</t>
  </si>
  <si>
    <t>Verpehøner Sør-Norge</t>
  </si>
  <si>
    <t>Verpehøner Nord-Norge</t>
  </si>
  <si>
    <t xml:space="preserve"> kr/daa</t>
  </si>
  <si>
    <t>kr/daa</t>
  </si>
  <si>
    <t xml:space="preserve">    Endring</t>
  </si>
  <si>
    <t xml:space="preserve">    kr/daa</t>
  </si>
  <si>
    <t>Sone 1</t>
  </si>
  <si>
    <t>dekar</t>
  </si>
  <si>
    <t>Sone 2</t>
  </si>
  <si>
    <t>Sone 3</t>
  </si>
  <si>
    <t>Sone 4</t>
  </si>
  <si>
    <t>Sone 5</t>
  </si>
  <si>
    <t>Sone 6</t>
  </si>
  <si>
    <t>Sone 7</t>
  </si>
  <si>
    <t>Distriktstilskudd, kjøtt</t>
  </si>
  <si>
    <t>Trøndelag</t>
  </si>
  <si>
    <t>AK-tilskudd, frukt, bær og planteskoleareal</t>
  </si>
  <si>
    <t>Arealtilskudd, grovfôr</t>
  </si>
  <si>
    <t>Arealtilskudd, korn</t>
  </si>
  <si>
    <t>Arealtilskudd, potet</t>
  </si>
  <si>
    <t>Arealtilskudd, grønnsaker</t>
  </si>
  <si>
    <t>Soyamel</t>
  </si>
  <si>
    <t>Andre fôrstoffer</t>
  </si>
  <si>
    <t xml:space="preserve">Sum norsk korn </t>
  </si>
  <si>
    <t>Egg</t>
  </si>
  <si>
    <t>Kyr, storfe, hest</t>
  </si>
  <si>
    <t>Sau, lam, geit</t>
  </si>
  <si>
    <t>Sone  B</t>
  </si>
  <si>
    <t>Sone  C</t>
  </si>
  <si>
    <r>
      <t xml:space="preserve">Markedsregulering, </t>
    </r>
    <r>
      <rPr>
        <b/>
        <i/>
        <sz val="8"/>
        <color indexed="8"/>
        <rFont val="Times New Roman"/>
        <family val="1"/>
      </rPr>
      <t>kan overføres</t>
    </r>
  </si>
  <si>
    <r>
      <t xml:space="preserve">Pristilskudd </t>
    </r>
    <r>
      <rPr>
        <b/>
        <i/>
        <sz val="8"/>
        <color indexed="8"/>
        <rFont val="Times New Roman"/>
        <family val="1"/>
      </rPr>
      <t>(overslagsbevilgning)</t>
    </r>
  </si>
  <si>
    <r>
      <t xml:space="preserve">Direkte tilskudd, </t>
    </r>
    <r>
      <rPr>
        <b/>
        <i/>
        <sz val="8"/>
        <color indexed="8"/>
        <rFont val="Times New Roman"/>
        <family val="1"/>
      </rPr>
      <t>kan overføres</t>
    </r>
  </si>
  <si>
    <r>
      <t xml:space="preserve">Utviklingstiltak, </t>
    </r>
    <r>
      <rPr>
        <b/>
        <i/>
        <sz val="8"/>
        <color indexed="8"/>
        <rFont val="Times New Roman"/>
        <family val="1"/>
      </rPr>
      <t>kan overføres</t>
    </r>
  </si>
  <si>
    <r>
      <t xml:space="preserve">Velferdsordninger, </t>
    </r>
    <r>
      <rPr>
        <b/>
        <i/>
        <sz val="8"/>
        <color indexed="8"/>
        <rFont val="Times New Roman"/>
        <family val="1"/>
      </rPr>
      <t>kan overføres</t>
    </r>
  </si>
  <si>
    <r>
      <t xml:space="preserve">Sum </t>
    </r>
    <r>
      <rPr>
        <b/>
        <sz val="10"/>
        <color indexed="10"/>
        <rFont val="Times New Roman"/>
        <family val="1"/>
      </rPr>
      <t>grovfôr</t>
    </r>
    <r>
      <rPr>
        <b/>
        <sz val="10"/>
        <color indexed="8"/>
        <rFont val="Times New Roman"/>
        <family val="1"/>
      </rPr>
      <t xml:space="preserve"> alle soner</t>
    </r>
  </si>
  <si>
    <r>
      <t xml:space="preserve">Sum </t>
    </r>
    <r>
      <rPr>
        <b/>
        <sz val="10"/>
        <color indexed="10"/>
        <rFont val="Times New Roman"/>
        <family val="1"/>
      </rPr>
      <t>korn,</t>
    </r>
    <r>
      <rPr>
        <b/>
        <sz val="10"/>
        <color indexed="8"/>
        <rFont val="Times New Roman"/>
        <family val="1"/>
      </rPr>
      <t xml:space="preserve"> alle soner</t>
    </r>
  </si>
  <si>
    <r>
      <t xml:space="preserve">Sum </t>
    </r>
    <r>
      <rPr>
        <b/>
        <sz val="10"/>
        <color indexed="10"/>
        <rFont val="Times New Roman"/>
        <family val="1"/>
      </rPr>
      <t>poteter,</t>
    </r>
    <r>
      <rPr>
        <b/>
        <sz val="10"/>
        <color indexed="8"/>
        <rFont val="Times New Roman"/>
        <family val="1"/>
      </rPr>
      <t xml:space="preserve"> alle soner</t>
    </r>
  </si>
  <si>
    <r>
      <t xml:space="preserve">Sum </t>
    </r>
    <r>
      <rPr>
        <b/>
        <sz val="10"/>
        <color indexed="10"/>
        <rFont val="Times New Roman"/>
        <family val="1"/>
      </rPr>
      <t>grønnsaker</t>
    </r>
    <r>
      <rPr>
        <b/>
        <sz val="10"/>
        <color indexed="8"/>
        <rFont val="Times New Roman"/>
        <family val="1"/>
      </rPr>
      <t>, alle soner</t>
    </r>
  </si>
  <si>
    <r>
      <t xml:space="preserve">Sum </t>
    </r>
    <r>
      <rPr>
        <b/>
        <sz val="10"/>
        <color indexed="10"/>
        <rFont val="Times New Roman"/>
        <family val="1"/>
      </rPr>
      <t>frukt og bær</t>
    </r>
    <r>
      <rPr>
        <b/>
        <sz val="10"/>
        <color indexed="8"/>
        <rFont val="Times New Roman"/>
        <family val="1"/>
      </rPr>
      <t>, alle soner</t>
    </r>
  </si>
  <si>
    <t>Grunntilskudd, kjøtt</t>
  </si>
  <si>
    <t>70.11</t>
  </si>
  <si>
    <t>70.12</t>
  </si>
  <si>
    <t>50.11</t>
  </si>
  <si>
    <t>73. 11</t>
  </si>
  <si>
    <t>73.13</t>
  </si>
  <si>
    <t>73.15</t>
  </si>
  <si>
    <t>73.17</t>
  </si>
  <si>
    <t>73.18</t>
  </si>
  <si>
    <t>74.11</t>
  </si>
  <si>
    <t>74.14</t>
  </si>
  <si>
    <t>74.17</t>
  </si>
  <si>
    <t>77.11</t>
  </si>
  <si>
    <t>77.12</t>
  </si>
  <si>
    <t>77.13</t>
  </si>
  <si>
    <t>77.14</t>
  </si>
  <si>
    <t>77.15</t>
  </si>
  <si>
    <t>77.17</t>
  </si>
  <si>
    <t>78.11</t>
  </si>
  <si>
    <t>78.12</t>
  </si>
  <si>
    <t>78.14</t>
  </si>
  <si>
    <t>78.15</t>
  </si>
  <si>
    <t>78.16</t>
  </si>
  <si>
    <t>Post 73.11 Tilskudd til norsk ull</t>
  </si>
  <si>
    <t>Post 73.13  Pristilskudd, melk</t>
  </si>
  <si>
    <t>Sum post 73.13  Pristilskudd, melk</t>
  </si>
  <si>
    <t>Post 73.15 Pristilskudd, kjøtt</t>
  </si>
  <si>
    <t>73.16</t>
  </si>
  <si>
    <t>Distriktstilskudd egg</t>
  </si>
  <si>
    <t>Verpehøner, landet</t>
  </si>
  <si>
    <t>Nye satser</t>
  </si>
  <si>
    <t>Ny sats</t>
  </si>
  <si>
    <t>Sum kap 4150.80</t>
  </si>
  <si>
    <t>Vestl.</t>
  </si>
  <si>
    <t xml:space="preserve">Sum </t>
  </si>
  <si>
    <t>Poteter</t>
  </si>
  <si>
    <t>Tilskudd til pelsdyr</t>
  </si>
  <si>
    <t>Produksjonstilskudd,  husdyr</t>
  </si>
  <si>
    <t>73.19</t>
  </si>
  <si>
    <t>Driftstilskudd, melkeproduksjon</t>
  </si>
  <si>
    <t>Avsetningstiltak</t>
  </si>
  <si>
    <t>Kumelk Nord-Norge</t>
  </si>
  <si>
    <t xml:space="preserve">Antall </t>
  </si>
  <si>
    <t>Geitemelk</t>
  </si>
  <si>
    <t>kr/bruk/dyr</t>
  </si>
  <si>
    <t>Målpris</t>
  </si>
  <si>
    <t>Kulturlandskapstilskudd alt areal</t>
  </si>
  <si>
    <t>Sau/lam</t>
  </si>
  <si>
    <t>alt areal</t>
  </si>
  <si>
    <t>(bruk med melkeprod)</t>
  </si>
  <si>
    <t>Ammekyr</t>
  </si>
  <si>
    <t>Sum driftstilskudd, melk og ammeku</t>
  </si>
  <si>
    <t>Tilskudd til dyreavl med mer</t>
  </si>
  <si>
    <t>Lammeslakt</t>
  </si>
  <si>
    <t xml:space="preserve">SUM  KAP. 1150 </t>
  </si>
  <si>
    <t>74.20</t>
  </si>
  <si>
    <t>Tilskudd til kvalitets- og salgsfremmende tiltak</t>
  </si>
  <si>
    <t>Grunntilskudd geitmelk</t>
  </si>
  <si>
    <t>74.19</t>
  </si>
  <si>
    <t>Unghester &lt; 3 år</t>
  </si>
  <si>
    <t>Tilskudd til frøavl med mer</t>
  </si>
  <si>
    <t>Nord Norge</t>
  </si>
  <si>
    <t xml:space="preserve">Ull </t>
  </si>
  <si>
    <t>og ammegeiter</t>
  </si>
  <si>
    <t>Sum distriktstilskudd egg</t>
  </si>
  <si>
    <t>Sum pristilskudd kjøtt</t>
  </si>
  <si>
    <t>Post 73.16 Distriktstilskudd egg</t>
  </si>
  <si>
    <t>Kap. 4150 Markedsordningen for korn</t>
  </si>
  <si>
    <t>Post 73.19 Prisnedskrivning norsk korn</t>
  </si>
  <si>
    <t>Kapittel 1150 Jordbruksavtalen:</t>
  </si>
  <si>
    <t>Sum, AK-tilskudd</t>
  </si>
  <si>
    <t>Sum produksjonstilskudd, husdyr</t>
  </si>
  <si>
    <r>
      <t>Areal- og kulturlandskapstilskudd</t>
    </r>
    <r>
      <rPr>
        <vertAlign val="superscript"/>
        <sz val="8"/>
        <color indexed="8"/>
        <rFont val="Times New Roman"/>
        <family val="1"/>
      </rPr>
      <t xml:space="preserve"> </t>
    </r>
  </si>
  <si>
    <t>73.20</t>
  </si>
  <si>
    <t>Post 73.20 Tilskudd til matkorn</t>
  </si>
  <si>
    <t xml:space="preserve">Tilskudd matkorn </t>
  </si>
  <si>
    <t>Post 73.18 Frakttilskudd</t>
  </si>
  <si>
    <t>Frakttilskudd slakt</t>
  </si>
  <si>
    <t>Frakttilskudd egg</t>
  </si>
  <si>
    <t>Utegangersau (alle)</t>
  </si>
  <si>
    <t>over 40</t>
  </si>
  <si>
    <t>Regionale miljøprogram</t>
  </si>
  <si>
    <t>Tilskudd til matkorn</t>
  </si>
  <si>
    <t>Erter til modning</t>
  </si>
  <si>
    <t xml:space="preserve">Justert bevilgningsbehov, gjeldende satser </t>
  </si>
  <si>
    <t>Beitetilskudd</t>
  </si>
  <si>
    <t>Sum beitetilskudd</t>
  </si>
  <si>
    <t>+</t>
  </si>
  <si>
    <t xml:space="preserve"> =</t>
  </si>
  <si>
    <t>74.16</t>
  </si>
  <si>
    <t xml:space="preserve">Tillegg:  </t>
  </si>
  <si>
    <t>0-800</t>
  </si>
  <si>
    <t>801-</t>
  </si>
  <si>
    <t xml:space="preserve">dekar </t>
  </si>
  <si>
    <t>Avlsgris landet</t>
  </si>
  <si>
    <t>Intervall</t>
  </si>
  <si>
    <t xml:space="preserve">Mjølkeku </t>
  </si>
  <si>
    <t>alle</t>
  </si>
  <si>
    <t>Andre storfe</t>
  </si>
  <si>
    <t>Melkegeit og melkesau</t>
  </si>
  <si>
    <t>Avlsgris</t>
  </si>
  <si>
    <t>Hester</t>
  </si>
  <si>
    <t>Avlskaniner</t>
  </si>
  <si>
    <t>Verpehøner, -ender, -kalkuner, -gjess</t>
  </si>
  <si>
    <t>Slaktekylling</t>
  </si>
  <si>
    <t>Revetisper</t>
  </si>
  <si>
    <t>Avkorting</t>
  </si>
  <si>
    <t>antall foretak</t>
  </si>
  <si>
    <t>kr/foretak</t>
  </si>
  <si>
    <t>Sum effekt av satsendringer</t>
  </si>
  <si>
    <t>m. maks. utbetaling</t>
  </si>
  <si>
    <t xml:space="preserve"> 1 - 8</t>
  </si>
  <si>
    <t>over  8</t>
  </si>
  <si>
    <t xml:space="preserve"> 1 - 40</t>
  </si>
  <si>
    <t>over  40</t>
  </si>
  <si>
    <t>Sum tilskudd til avløsning for ferie og fritid</t>
  </si>
  <si>
    <t>Makssats</t>
  </si>
  <si>
    <t>Sum effekt av maksimalsatsen</t>
  </si>
  <si>
    <t>AK-sone 1-4</t>
  </si>
  <si>
    <t>AK-sone 5-7</t>
  </si>
  <si>
    <t xml:space="preserve">Arealtilskudd </t>
  </si>
  <si>
    <t>Grønngjødsling</t>
  </si>
  <si>
    <t>Sum arealtilskudd økologisk areal</t>
  </si>
  <si>
    <t>Omleggingstilskudd</t>
  </si>
  <si>
    <t>Sum omleggingstilskudd økologisk areal</t>
  </si>
  <si>
    <t>Tilskudd til økologisk husdyrproduksjon</t>
  </si>
  <si>
    <t>Melkekyr</t>
  </si>
  <si>
    <t>Sau over 1 år</t>
  </si>
  <si>
    <t>Melkegeit og ammegeit</t>
  </si>
  <si>
    <t>Landet</t>
  </si>
  <si>
    <t>Sum tilskudd til økologisk husdyrproduksjon</t>
  </si>
  <si>
    <t>Sum tilskudd til økologisk jordbruk</t>
  </si>
  <si>
    <t>Sau, ammegeit</t>
  </si>
  <si>
    <t>Grønnsaker, frukt og bær</t>
  </si>
  <si>
    <t>Korn til modning</t>
  </si>
  <si>
    <t>Hjort</t>
  </si>
  <si>
    <t>Økt sats</t>
  </si>
  <si>
    <t xml:space="preserve">                             </t>
  </si>
  <si>
    <t>Tilskudd til avløsning for ferie/fritid</t>
  </si>
  <si>
    <t>Tilskudd til øvrige velferdstiltak</t>
  </si>
  <si>
    <t>Tilskudd til tidligpensjonsordning</t>
  </si>
  <si>
    <r>
      <t xml:space="preserve">Bunnfradrag 35 pst </t>
    </r>
    <r>
      <rPr>
        <b/>
        <vertAlign val="superscript"/>
        <sz val="10"/>
        <rFont val="Times New Roman"/>
        <family val="1"/>
      </rPr>
      <t>1)</t>
    </r>
  </si>
  <si>
    <t>1) Bunnfradrag produksjonstilskudd fordeles med 35 pst tilskudd husdyr og 65 pst arealtilskudd</t>
  </si>
  <si>
    <r>
      <t>Bunnfradrag, 65 pst</t>
    </r>
    <r>
      <rPr>
        <b/>
        <vertAlign val="superscript"/>
        <sz val="10"/>
        <color indexed="8"/>
        <rFont val="Times New Roman"/>
        <family val="1"/>
      </rPr>
      <t xml:space="preserve">  1)</t>
    </r>
  </si>
  <si>
    <t>Bygg</t>
  </si>
  <si>
    <t>Havre</t>
  </si>
  <si>
    <t>Förhvete og fôrrug</t>
  </si>
  <si>
    <t>Målprisendring</t>
  </si>
  <si>
    <t>Kr/l / kg</t>
  </si>
  <si>
    <t>Mjølkeku</t>
  </si>
  <si>
    <t>Økologiske lammeslakt</t>
  </si>
  <si>
    <t>Jordbruksavtalen, fordeling på priser og tilskudd</t>
  </si>
  <si>
    <t xml:space="preserve">Innmarksbeite </t>
  </si>
  <si>
    <t>Tilskudd til råvareprisordningen m.v.</t>
  </si>
  <si>
    <t xml:space="preserve">    0 - 40</t>
  </si>
  <si>
    <t>Økologisk slaktekylling</t>
  </si>
  <si>
    <t>Tilskudd til avløsning ved sykdom mv</t>
  </si>
  <si>
    <t>Anslag endring i kraftfôrpris, inkl korn og protein, øre/kg</t>
  </si>
  <si>
    <r>
      <t xml:space="preserve">Tilskudd til  LUF </t>
    </r>
    <r>
      <rPr>
        <vertAlign val="superscript"/>
        <sz val="8"/>
        <color indexed="8"/>
        <rFont val="Times New Roman"/>
        <family val="1"/>
      </rPr>
      <t>2)</t>
    </r>
  </si>
  <si>
    <r>
      <t xml:space="preserve">mill. kr  </t>
    </r>
    <r>
      <rPr>
        <b/>
        <vertAlign val="superscript"/>
        <sz val="10"/>
        <color indexed="8"/>
        <rFont val="Times New Roman"/>
        <family val="1"/>
      </rPr>
      <t>1)</t>
    </r>
  </si>
  <si>
    <t>1) Saldert budsjett</t>
  </si>
  <si>
    <t>Sum til fordeling</t>
  </si>
  <si>
    <t>Utmarksbeitetilskudd:</t>
  </si>
  <si>
    <t>Kjeslakt over 3,5 kg</t>
  </si>
  <si>
    <t>Avlsgris Sør-Norge 2)</t>
  </si>
  <si>
    <t>Avlsgris Jæren</t>
  </si>
  <si>
    <t>Slaktegris 2)</t>
  </si>
  <si>
    <t>Slaktegris  Jæren</t>
  </si>
  <si>
    <t>2) Unntatt Jæren</t>
  </si>
  <si>
    <t>Kumelk Jæren</t>
  </si>
  <si>
    <t>over 80</t>
  </si>
  <si>
    <t>" Ramme for oppgjøret"</t>
  </si>
  <si>
    <t>over 250</t>
  </si>
  <si>
    <t>Kumelk rest Sør- Norge</t>
  </si>
  <si>
    <t>Økologiske oljevekster, lupin, bønner</t>
  </si>
  <si>
    <t>Fôrerter</t>
  </si>
  <si>
    <t>Økologiske fôrerter</t>
  </si>
  <si>
    <t>Oljevekster, lupiner og bønner</t>
  </si>
  <si>
    <t>Korn</t>
  </si>
  <si>
    <r>
      <t>Gris Vestlandet og Agder</t>
    </r>
    <r>
      <rPr>
        <vertAlign val="superscript"/>
        <sz val="10"/>
        <color indexed="8"/>
        <rFont val="Times New Roman"/>
        <family val="1"/>
      </rPr>
      <t>1</t>
    </r>
  </si>
  <si>
    <t>1) Hordaland, Sogn og Fjordane, Møre og Romsdal + Agderfylkene</t>
  </si>
  <si>
    <r>
      <t xml:space="preserve">Kylling og kalk., Agd./Vestl. </t>
    </r>
    <r>
      <rPr>
        <vertAlign val="superscript"/>
        <sz val="10"/>
        <color indexed="8"/>
        <rFont val="Times New Roman"/>
        <family val="1"/>
      </rPr>
      <t>1</t>
    </r>
  </si>
  <si>
    <t xml:space="preserve">    0 -  250</t>
  </si>
  <si>
    <t xml:space="preserve">    0 - 80</t>
  </si>
  <si>
    <t>Alt karensareal minus innmarksbeite</t>
  </si>
  <si>
    <t>Post 74. 11 Driftstilskudd, melk og ammeku</t>
  </si>
  <si>
    <t>Mill. kroner</t>
  </si>
  <si>
    <t>Post 74.14   Tilskudd til husdyr</t>
  </si>
  <si>
    <t xml:space="preserve">Sau over 1 år pr 1.jan </t>
  </si>
  <si>
    <t>kval.  O og bedre</t>
  </si>
  <si>
    <t>Post. 74.16  Tilskudd til dyr på beite</t>
  </si>
  <si>
    <t>Småfe m.m.</t>
  </si>
  <si>
    <t>Storfe m.m.</t>
  </si>
  <si>
    <t>Post. 74.17 Areal- og kulturlandskapstilskudd</t>
  </si>
  <si>
    <t xml:space="preserve">Ant. </t>
  </si>
  <si>
    <t>Mill.kroner</t>
  </si>
  <si>
    <t>Ant.  daa</t>
  </si>
  <si>
    <t>Post. 74.20 Tilskudd til økologisk jordbruk</t>
  </si>
  <si>
    <t>Post 78.11  Tilskudd for avløsning til ferie og fritid</t>
  </si>
  <si>
    <t>Mill.  l/kg/kr</t>
  </si>
  <si>
    <t>Tilskudd til potetsprit og potetstivelse</t>
  </si>
  <si>
    <t xml:space="preserve">Tilskudd til erstatninger  m.m. </t>
  </si>
  <si>
    <t>fra 1.7.</t>
  </si>
  <si>
    <t>01.07.</t>
  </si>
  <si>
    <t>kval. O- og dårligere</t>
  </si>
  <si>
    <t>Grønnsaker og frukt</t>
  </si>
  <si>
    <t>Norsk matkorn</t>
  </si>
  <si>
    <t>Arealtilskudd, frukt</t>
  </si>
  <si>
    <r>
      <t xml:space="preserve">Sum </t>
    </r>
    <r>
      <rPr>
        <b/>
        <sz val="10"/>
        <color indexed="10"/>
        <rFont val="Times New Roman"/>
        <family val="1"/>
      </rPr>
      <t xml:space="preserve">frukt </t>
    </r>
    <r>
      <rPr>
        <b/>
        <sz val="10"/>
        <color indexed="8"/>
        <rFont val="Times New Roman"/>
        <family val="1"/>
      </rPr>
      <t xml:space="preserve"> alle soner</t>
    </r>
  </si>
  <si>
    <t>Arealtilskudd,bær</t>
  </si>
  <si>
    <r>
      <t>Sum</t>
    </r>
    <r>
      <rPr>
        <b/>
        <sz val="10"/>
        <color indexed="10"/>
        <rFont val="Times New Roman"/>
        <family val="1"/>
      </rPr>
      <t>bær</t>
    </r>
    <r>
      <rPr>
        <b/>
        <sz val="10"/>
        <color indexed="8"/>
        <rFont val="Times New Roman"/>
        <family val="1"/>
      </rPr>
      <t>, alle soner</t>
    </r>
  </si>
  <si>
    <t>Tilskudd til prisnedskriving korn</t>
  </si>
  <si>
    <t>Tilskudd til rådgivning</t>
  </si>
  <si>
    <t>01</t>
  </si>
  <si>
    <t>Frakt kraftfôr</t>
  </si>
  <si>
    <t>Sonefrakt korn</t>
  </si>
  <si>
    <t>fordelt</t>
  </si>
  <si>
    <t>Melk, ku og geit</t>
  </si>
  <si>
    <t xml:space="preserve">Gris, sone 4 </t>
  </si>
  <si>
    <t>Gris, sone 5</t>
  </si>
  <si>
    <t>Driftskostnader, utredninger og evalueringer</t>
  </si>
  <si>
    <t xml:space="preserve">6-39 kyr  </t>
  </si>
  <si>
    <t xml:space="preserve">40 og flere kyr  </t>
  </si>
  <si>
    <t>Bevaringsverdige husdyrraser</t>
  </si>
  <si>
    <t>Bevilgning</t>
  </si>
  <si>
    <r>
      <t>Sone  A</t>
    </r>
    <r>
      <rPr>
        <vertAlign val="superscript"/>
        <sz val="10"/>
        <color indexed="8"/>
        <rFont val="Times New Roman"/>
        <family val="1"/>
      </rPr>
      <t xml:space="preserve"> 1)</t>
    </r>
  </si>
  <si>
    <t>1) Omfatter landet utenom sone B-J</t>
  </si>
  <si>
    <t>Forskrift med    satser</t>
  </si>
  <si>
    <t>Dato</t>
  </si>
  <si>
    <t>kl</t>
  </si>
  <si>
    <t>Beitetilskudd:</t>
  </si>
  <si>
    <t>Grovfôr od annet økologisk areal</t>
  </si>
  <si>
    <t>Avtalepriser fra 1.7.2013</t>
  </si>
  <si>
    <t>Omdisponerte ledige midler i 2013 utenfor rammen</t>
  </si>
  <si>
    <t xml:space="preserve">hvete </t>
  </si>
  <si>
    <t>rug</t>
  </si>
  <si>
    <t>kli</t>
  </si>
  <si>
    <t xml:space="preserve">havre/bygg </t>
  </si>
  <si>
    <t>norsk matmel</t>
  </si>
  <si>
    <t>Foretak</t>
  </si>
  <si>
    <t>Dyr</t>
  </si>
  <si>
    <t>Gjess, ender, kalkuner,livkylling</t>
  </si>
  <si>
    <t>Priser:</t>
  </si>
  <si>
    <t>Sum målprisutslag</t>
  </si>
  <si>
    <t xml:space="preserve">Tilskudd alt matkorn </t>
  </si>
  <si>
    <t>Redusert toll</t>
  </si>
  <si>
    <t>Beløpsavgrensing 3)</t>
  </si>
  <si>
    <t>Bikuber 4)</t>
  </si>
  <si>
    <t>Sone 1 - 5</t>
  </si>
  <si>
    <t>Sone 6 - 7</t>
  </si>
  <si>
    <t>Sone 5 -7</t>
  </si>
  <si>
    <t>Sone 1 - 4</t>
  </si>
  <si>
    <t>Sone 5 - 7</t>
  </si>
  <si>
    <t>Sone 1 -5</t>
  </si>
  <si>
    <t>Sone 6 -7</t>
  </si>
  <si>
    <t>Inntektsverdi justertet jordbruksfradrag</t>
  </si>
  <si>
    <t>Sum avtalepriser og tilskudd 2014/15</t>
  </si>
  <si>
    <t>Omdisponering overførte midler fra 2013 til 2014</t>
  </si>
  <si>
    <t>70.13</t>
  </si>
  <si>
    <r>
      <t>Økologisk korn</t>
    </r>
    <r>
      <rPr>
        <vertAlign val="superscript"/>
        <sz val="10"/>
        <color indexed="8"/>
        <rFont val="Times New Roman"/>
        <family val="1"/>
      </rPr>
      <t xml:space="preserve"> </t>
    </r>
  </si>
  <si>
    <t>250 +</t>
  </si>
  <si>
    <t>300 +</t>
  </si>
  <si>
    <t>500 +</t>
  </si>
  <si>
    <t>Slaktegris, landet</t>
  </si>
  <si>
    <t>Minktisper</t>
  </si>
  <si>
    <t>51 +</t>
  </si>
  <si>
    <t>1400 +</t>
  </si>
  <si>
    <t>5000 +</t>
  </si>
  <si>
    <t>35 +</t>
  </si>
  <si>
    <r>
      <t>Storfe kval. O og bedre</t>
    </r>
    <r>
      <rPr>
        <vertAlign val="superscript"/>
        <sz val="10"/>
        <color indexed="8"/>
        <rFont val="Times New Roman"/>
        <family val="1"/>
      </rPr>
      <t xml:space="preserve"> </t>
    </r>
  </si>
  <si>
    <t>Budsjett 2014</t>
  </si>
  <si>
    <t>Fordeling 2014 - 2015</t>
  </si>
  <si>
    <t xml:space="preserve"> 50+</t>
  </si>
  <si>
    <t>Prognose SLF</t>
  </si>
  <si>
    <t>Utegangersau til sau</t>
  </si>
</sst>
</file>

<file path=xl/styles.xml><?xml version="1.0" encoding="utf-8"?>
<styleSheet xmlns="http://schemas.openxmlformats.org/spreadsheetml/2006/main">
  <numFmts count="11">
    <numFmt numFmtId="43" formatCode="_ * #,##0.00_ ;_ * \-#,##0.00_ ;_ * &quot;-&quot;??_ ;_ @_ "/>
    <numFmt numFmtId="164" formatCode="&quot;kr&quot;\ #,##0;\-&quot;kr&quot;\ #,##0"/>
    <numFmt numFmtId="165" formatCode="d/m/\y\y"/>
    <numFmt numFmtId="166" formatCode="d/mmm"/>
    <numFmt numFmtId="167" formatCode="0.0"/>
    <numFmt numFmtId="168" formatCode="0.000"/>
    <numFmt numFmtId="169" formatCode="#,##0.0"/>
    <numFmt numFmtId="170" formatCode="0.0%"/>
    <numFmt numFmtId="171" formatCode="#,##0.000;\-#,##0.000"/>
    <numFmt numFmtId="172" formatCode="#,##0.000;[Red]\-#,##0.000"/>
    <numFmt numFmtId="173" formatCode="d/m/yyyy;@"/>
  </numFmts>
  <fonts count="76">
    <font>
      <sz val="10"/>
      <color indexed="8"/>
      <name val="Helv"/>
    </font>
    <font>
      <sz val="10"/>
      <name val="Helv"/>
    </font>
    <font>
      <b/>
      <sz val="10"/>
      <color indexed="8"/>
      <name val="Helv"/>
    </font>
    <font>
      <sz val="10"/>
      <color indexed="8"/>
      <name val="Helv"/>
    </font>
    <font>
      <sz val="10"/>
      <color indexed="12"/>
      <name val="Helv"/>
    </font>
    <font>
      <sz val="8"/>
      <color indexed="81"/>
      <name val="Tahoma"/>
      <family val="2"/>
    </font>
    <font>
      <b/>
      <sz val="8"/>
      <color indexed="81"/>
      <name val="Tahoma"/>
      <family val="2"/>
    </font>
    <font>
      <b/>
      <sz val="14"/>
      <name val="Times New Roman"/>
      <family val="1"/>
    </font>
    <font>
      <b/>
      <sz val="10"/>
      <name val="Times New Roman"/>
      <family val="1"/>
    </font>
    <font>
      <b/>
      <sz val="10"/>
      <color indexed="8"/>
      <name val="Times New Roman"/>
      <family val="1"/>
    </font>
    <font>
      <sz val="10"/>
      <color indexed="8"/>
      <name val="Times New Roman"/>
      <family val="1"/>
    </font>
    <font>
      <b/>
      <sz val="8"/>
      <name val="Times New Roman"/>
      <family val="1"/>
    </font>
    <font>
      <b/>
      <sz val="10"/>
      <color indexed="10"/>
      <name val="Times New Roman"/>
      <family val="1"/>
    </font>
    <font>
      <b/>
      <sz val="10"/>
      <color indexed="14"/>
      <name val="Times New Roman"/>
      <family val="1"/>
    </font>
    <font>
      <b/>
      <u/>
      <sz val="10"/>
      <color indexed="8"/>
      <name val="Times New Roman"/>
      <family val="1"/>
    </font>
    <font>
      <b/>
      <sz val="10"/>
      <color indexed="12"/>
      <name val="Times New Roman"/>
      <family val="1"/>
    </font>
    <font>
      <b/>
      <sz val="12"/>
      <name val="Times New Roman"/>
      <family val="1"/>
    </font>
    <font>
      <sz val="10"/>
      <name val="Times New Roman"/>
      <family val="1"/>
    </font>
    <font>
      <sz val="10"/>
      <color indexed="17"/>
      <name val="Times New Roman"/>
      <family val="1"/>
    </font>
    <font>
      <sz val="10"/>
      <color indexed="12"/>
      <name val="Times New Roman"/>
      <family val="1"/>
    </font>
    <font>
      <sz val="10"/>
      <color indexed="10"/>
      <name val="Times New Roman"/>
      <family val="1"/>
    </font>
    <font>
      <b/>
      <sz val="8"/>
      <color indexed="10"/>
      <name val="Times New Roman"/>
      <family val="1"/>
    </font>
    <font>
      <b/>
      <sz val="8"/>
      <color indexed="8"/>
      <name val="Times New Roman"/>
      <family val="1"/>
    </font>
    <font>
      <sz val="8"/>
      <color indexed="8"/>
      <name val="Times New Roman"/>
      <family val="1"/>
    </font>
    <font>
      <sz val="8"/>
      <color indexed="12"/>
      <name val="Times New Roman"/>
      <family val="1"/>
    </font>
    <font>
      <sz val="8"/>
      <color indexed="17"/>
      <name val="Times New Roman"/>
      <family val="1"/>
    </font>
    <font>
      <b/>
      <i/>
      <sz val="8"/>
      <color indexed="8"/>
      <name val="Times New Roman"/>
      <family val="1"/>
    </font>
    <font>
      <sz val="8"/>
      <color indexed="10"/>
      <name val="Times New Roman"/>
      <family val="1"/>
    </font>
    <font>
      <b/>
      <u/>
      <sz val="10"/>
      <name val="Times New Roman"/>
      <family val="1"/>
    </font>
    <font>
      <sz val="10"/>
      <color indexed="50"/>
      <name val="Times New Roman"/>
      <family val="1"/>
    </font>
    <font>
      <sz val="10"/>
      <color indexed="14"/>
      <name val="Times New Roman"/>
      <family val="1"/>
    </font>
    <font>
      <sz val="10"/>
      <color indexed="56"/>
      <name val="Times New Roman"/>
      <family val="1"/>
    </font>
    <font>
      <b/>
      <sz val="9"/>
      <color indexed="8"/>
      <name val="Times New Roman"/>
      <family val="1"/>
    </font>
    <font>
      <sz val="9"/>
      <color indexed="8"/>
      <name val="Times New Roman"/>
      <family val="1"/>
    </font>
    <font>
      <b/>
      <sz val="10"/>
      <color indexed="50"/>
      <name val="Times New Roman"/>
      <family val="1"/>
    </font>
    <font>
      <sz val="10"/>
      <color indexed="10"/>
      <name val="Helv"/>
    </font>
    <font>
      <b/>
      <sz val="11"/>
      <color indexed="8"/>
      <name val="Times New Roman"/>
      <family val="1"/>
    </font>
    <font>
      <b/>
      <sz val="11"/>
      <color indexed="10"/>
      <name val="Times New Roman"/>
      <family val="1"/>
    </font>
    <font>
      <vertAlign val="superscript"/>
      <sz val="8"/>
      <color indexed="8"/>
      <name val="Times New Roman"/>
      <family val="1"/>
    </font>
    <font>
      <i/>
      <u/>
      <sz val="10"/>
      <color indexed="8"/>
      <name val="Times New Roman"/>
      <family val="1"/>
    </font>
    <font>
      <b/>
      <u/>
      <sz val="10"/>
      <color indexed="10"/>
      <name val="Times New Roman"/>
      <family val="1"/>
    </font>
    <font>
      <b/>
      <sz val="10"/>
      <color indexed="17"/>
      <name val="Times New Roman"/>
      <family val="1"/>
    </font>
    <font>
      <i/>
      <sz val="9"/>
      <color indexed="8"/>
      <name val="Times New Roman"/>
      <family val="1"/>
    </font>
    <font>
      <i/>
      <sz val="10"/>
      <color indexed="8"/>
      <name val="Helv"/>
    </font>
    <font>
      <u/>
      <sz val="10"/>
      <color indexed="8"/>
      <name val="Helv"/>
    </font>
    <font>
      <sz val="10"/>
      <color indexed="8"/>
      <name val="Helv"/>
    </font>
    <font>
      <sz val="12"/>
      <color indexed="8"/>
      <name val="Times New Roman"/>
      <family val="1"/>
    </font>
    <font>
      <sz val="9"/>
      <color indexed="8"/>
      <name val="Helv"/>
    </font>
    <font>
      <b/>
      <vertAlign val="superscript"/>
      <sz val="10"/>
      <color indexed="8"/>
      <name val="Times New Roman"/>
      <family val="1"/>
    </font>
    <font>
      <b/>
      <vertAlign val="superscript"/>
      <sz val="10"/>
      <name val="Times New Roman"/>
      <family val="1"/>
    </font>
    <font>
      <i/>
      <sz val="10"/>
      <name val="Times New Roman"/>
      <family val="1"/>
    </font>
    <font>
      <i/>
      <sz val="12"/>
      <name val="Helv"/>
    </font>
    <font>
      <b/>
      <i/>
      <sz val="12"/>
      <name val="Times New Roman"/>
      <family val="1"/>
    </font>
    <font>
      <i/>
      <sz val="10"/>
      <color indexed="8"/>
      <name val="Times New Roman"/>
      <family val="1"/>
    </font>
    <font>
      <vertAlign val="superscript"/>
      <sz val="10"/>
      <color indexed="8"/>
      <name val="Times New Roman"/>
      <family val="1"/>
    </font>
    <font>
      <b/>
      <sz val="8"/>
      <color indexed="12"/>
      <name val="Times New Roman"/>
      <family val="1"/>
    </font>
    <font>
      <sz val="10"/>
      <color rgb="FF00B050"/>
      <name val="Times New Roman"/>
      <family val="1"/>
    </font>
    <font>
      <sz val="11"/>
      <color rgb="FFFF0000"/>
      <name val="Times New Roman"/>
      <family val="1"/>
    </font>
    <font>
      <sz val="10"/>
      <color rgb="FF008000"/>
      <name val="Times New Roman"/>
      <family val="1"/>
    </font>
    <font>
      <sz val="10"/>
      <color rgb="FF1F497D"/>
      <name val="Times New Roman"/>
      <family val="1"/>
    </font>
    <font>
      <b/>
      <sz val="10"/>
      <color rgb="FFFF0000"/>
      <name val="Helv"/>
    </font>
    <font>
      <b/>
      <sz val="10"/>
      <color rgb="FF0070C0"/>
      <name val="Times New Roman"/>
      <family val="1"/>
    </font>
    <font>
      <sz val="9"/>
      <color indexed="81"/>
      <name val="Tahoma"/>
      <family val="2"/>
    </font>
    <font>
      <b/>
      <sz val="9"/>
      <color indexed="81"/>
      <name val="Tahoma"/>
      <family val="2"/>
    </font>
    <font>
      <i/>
      <sz val="9"/>
      <name val="Times New Roman"/>
      <family val="1"/>
    </font>
    <font>
      <b/>
      <sz val="10"/>
      <color rgb="FF008000"/>
      <name val="Times New Roman"/>
      <family val="1"/>
    </font>
    <font>
      <b/>
      <sz val="10"/>
      <color rgb="FF00B0F0"/>
      <name val="Times New Roman"/>
      <family val="1"/>
    </font>
    <font>
      <sz val="10"/>
      <color rgb="FFC00000"/>
      <name val="Times New Roman"/>
      <family val="1"/>
    </font>
    <font>
      <sz val="11"/>
      <color indexed="8"/>
      <name val="Calibri"/>
      <family val="2"/>
    </font>
    <font>
      <sz val="10"/>
      <color rgb="FF000000"/>
      <name val="Times New Roman"/>
      <family val="1"/>
    </font>
    <font>
      <b/>
      <sz val="12"/>
      <color rgb="FFFF0000"/>
      <name val="Times New Roman"/>
      <family val="1"/>
    </font>
    <font>
      <sz val="9"/>
      <color indexed="8"/>
      <name val="Courier New"/>
      <family val="3"/>
    </font>
    <font>
      <b/>
      <sz val="9"/>
      <color indexed="8"/>
      <name val="Helv"/>
    </font>
    <font>
      <u/>
      <sz val="10"/>
      <color theme="10"/>
      <name val="Helv"/>
    </font>
    <font>
      <sz val="8"/>
      <color indexed="8"/>
      <name val="Helv"/>
    </font>
    <font>
      <b/>
      <sz val="8"/>
      <color rgb="FF0070C0"/>
      <name val="Times New Roman"/>
      <family val="1"/>
    </font>
  </fonts>
  <fills count="3">
    <fill>
      <patternFill patternType="none"/>
    </fill>
    <fill>
      <patternFill patternType="gray125"/>
    </fill>
    <fill>
      <patternFill patternType="solid">
        <fgColor rgb="FFFFFF00"/>
        <bgColor indexed="64"/>
      </patternFill>
    </fill>
  </fills>
  <borders count="23">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xf numFmtId="167" fontId="4" fillId="0" borderId="1"/>
    <xf numFmtId="0" fontId="3" fillId="0" borderId="0"/>
    <xf numFmtId="9" fontId="1" fillId="0" borderId="0" applyFont="0" applyFill="0" applyBorder="0" applyAlignment="0" applyProtection="0"/>
    <xf numFmtId="43" fontId="3" fillId="0" borderId="0" applyFont="0" applyFill="0" applyBorder="0" applyAlignment="0" applyProtection="0"/>
    <xf numFmtId="0" fontId="73" fillId="0" borderId="0" applyNumberFormat="0" applyFill="0" applyBorder="0" applyAlignment="0" applyProtection="0">
      <alignment vertical="top"/>
      <protection locked="0"/>
    </xf>
  </cellStyleXfs>
  <cellXfs count="469">
    <xf numFmtId="0" fontId="0" fillId="0" borderId="0" xfId="0"/>
    <xf numFmtId="0" fontId="8" fillId="0" borderId="0" xfId="0" applyFont="1" applyFill="1" applyBorder="1"/>
    <xf numFmtId="0" fontId="8" fillId="0" borderId="0" xfId="0" applyFont="1" applyFill="1" applyBorder="1" applyAlignment="1">
      <alignment horizontal="center"/>
    </xf>
    <xf numFmtId="0" fontId="11" fillId="0" borderId="0" xfId="0" applyFont="1" applyFill="1" applyBorder="1"/>
    <xf numFmtId="165" fontId="11" fillId="0" borderId="0" xfId="0" applyNumberFormat="1" applyFont="1" applyFill="1" applyBorder="1" applyAlignment="1">
      <alignment horizontal="center"/>
    </xf>
    <xf numFmtId="0" fontId="9" fillId="0" borderId="0" xfId="0" applyFont="1" applyFill="1" applyBorder="1"/>
    <xf numFmtId="167" fontId="12" fillId="0" borderId="0" xfId="0" applyNumberFormat="1" applyFont="1" applyFill="1" applyBorder="1" applyAlignment="1">
      <alignment horizontal="center"/>
    </xf>
    <xf numFmtId="9" fontId="13" fillId="0" borderId="0" xfId="0" applyNumberFormat="1" applyFont="1" applyFill="1"/>
    <xf numFmtId="0" fontId="10" fillId="0" borderId="0" xfId="0" applyFont="1" applyFill="1"/>
    <xf numFmtId="167" fontId="10" fillId="0" borderId="0" xfId="0" applyNumberFormat="1" applyFont="1" applyFill="1"/>
    <xf numFmtId="167" fontId="23" fillId="0" borderId="0" xfId="0" applyNumberFormat="1" applyFont="1" applyFill="1" applyBorder="1"/>
    <xf numFmtId="2" fontId="18" fillId="0" borderId="0" xfId="0" applyNumberFormat="1" applyFont="1" applyFill="1" applyBorder="1"/>
    <xf numFmtId="2" fontId="19" fillId="0" borderId="0" xfId="0" applyNumberFormat="1" applyFont="1" applyFill="1" applyBorder="1"/>
    <xf numFmtId="0" fontId="10" fillId="0" borderId="0" xfId="0" applyFont="1" applyFill="1" applyAlignment="1">
      <alignment horizontal="center"/>
    </xf>
    <xf numFmtId="3" fontId="18" fillId="0" borderId="0" xfId="0" applyNumberFormat="1" applyFont="1" applyFill="1" applyBorder="1"/>
    <xf numFmtId="0" fontId="18" fillId="0" borderId="0" xfId="0" applyFont="1" applyFill="1" applyBorder="1"/>
    <xf numFmtId="0" fontId="18" fillId="0" borderId="3" xfId="0" applyFont="1" applyFill="1" applyBorder="1"/>
    <xf numFmtId="0" fontId="10" fillId="0" borderId="0" xfId="0" applyFont="1" applyFill="1" applyBorder="1"/>
    <xf numFmtId="3" fontId="18" fillId="0" borderId="0" xfId="2" applyNumberFormat="1" applyFont="1" applyFill="1" applyBorder="1"/>
    <xf numFmtId="1" fontId="19" fillId="0" borderId="0" xfId="2" applyNumberFormat="1" applyFont="1" applyFill="1" applyBorder="1"/>
    <xf numFmtId="3" fontId="10" fillId="0" borderId="3" xfId="2" applyNumberFormat="1" applyFont="1" applyFill="1" applyBorder="1"/>
    <xf numFmtId="3" fontId="12" fillId="0" borderId="3" xfId="2" applyNumberFormat="1" applyFont="1" applyFill="1" applyBorder="1"/>
    <xf numFmtId="3" fontId="10" fillId="0" borderId="2" xfId="2" applyNumberFormat="1" applyFont="1" applyFill="1" applyBorder="1"/>
    <xf numFmtId="3" fontId="10" fillId="0" borderId="13" xfId="2" applyNumberFormat="1" applyFont="1" applyFill="1" applyBorder="1"/>
    <xf numFmtId="3" fontId="10" fillId="0" borderId="2" xfId="2" applyNumberFormat="1" applyFont="1" applyFill="1" applyBorder="1" applyAlignment="1">
      <alignment horizontal="center"/>
    </xf>
    <xf numFmtId="3" fontId="18" fillId="0" borderId="3" xfId="2" applyNumberFormat="1" applyFont="1" applyFill="1" applyBorder="1"/>
    <xf numFmtId="3" fontId="9" fillId="0" borderId="3" xfId="2" applyNumberFormat="1" applyFont="1" applyFill="1" applyBorder="1"/>
    <xf numFmtId="169" fontId="12" fillId="0" borderId="0" xfId="2" applyNumberFormat="1" applyFont="1" applyFill="1" applyBorder="1"/>
    <xf numFmtId="3" fontId="9" fillId="0" borderId="0" xfId="2" applyNumberFormat="1" applyFont="1" applyFill="1" applyBorder="1"/>
    <xf numFmtId="3" fontId="12" fillId="0" borderId="0" xfId="2" applyNumberFormat="1" applyFont="1" applyFill="1" applyBorder="1"/>
    <xf numFmtId="167" fontId="20" fillId="0" borderId="0" xfId="0" applyNumberFormat="1" applyFont="1" applyFill="1" applyBorder="1"/>
    <xf numFmtId="0" fontId="10" fillId="0" borderId="2" xfId="0" applyFont="1" applyFill="1" applyBorder="1"/>
    <xf numFmtId="0" fontId="10" fillId="0" borderId="3" xfId="0" applyFont="1" applyFill="1" applyBorder="1"/>
    <xf numFmtId="4" fontId="18" fillId="0" borderId="3" xfId="0" applyNumberFormat="1" applyFont="1" applyFill="1" applyBorder="1"/>
    <xf numFmtId="4" fontId="19" fillId="0" borderId="3" xfId="0" applyNumberFormat="1" applyFont="1" applyFill="1" applyBorder="1"/>
    <xf numFmtId="3" fontId="10" fillId="0" borderId="0" xfId="2" applyNumberFormat="1" applyFont="1" applyFill="1" applyBorder="1" applyAlignment="1">
      <alignment horizontal="center"/>
    </xf>
    <xf numFmtId="3" fontId="10" fillId="0" borderId="0" xfId="0" applyNumberFormat="1" applyFont="1" applyFill="1" applyBorder="1"/>
    <xf numFmtId="2" fontId="20" fillId="0" borderId="0" xfId="0" applyNumberFormat="1" applyFont="1" applyFill="1" applyBorder="1"/>
    <xf numFmtId="167" fontId="19" fillId="0" borderId="0" xfId="0" applyNumberFormat="1" applyFont="1" applyFill="1" applyBorder="1"/>
    <xf numFmtId="0" fontId="9" fillId="0" borderId="3" xfId="0" applyFont="1" applyFill="1" applyBorder="1"/>
    <xf numFmtId="167" fontId="12" fillId="0" borderId="0" xfId="0" applyNumberFormat="1" applyFont="1" applyFill="1" applyBorder="1"/>
    <xf numFmtId="0" fontId="17" fillId="0" borderId="0" xfId="0" applyFont="1" applyFill="1" applyBorder="1"/>
    <xf numFmtId="1" fontId="8" fillId="0" borderId="0" xfId="0" applyNumberFormat="1" applyFont="1" applyFill="1" applyBorder="1"/>
    <xf numFmtId="3" fontId="10" fillId="0" borderId="3" xfId="0" applyNumberFormat="1" applyFont="1" applyFill="1" applyBorder="1"/>
    <xf numFmtId="167" fontId="10" fillId="0" borderId="0" xfId="0" applyNumberFormat="1" applyFont="1" applyFill="1" applyBorder="1"/>
    <xf numFmtId="0" fontId="8" fillId="0" borderId="3" xfId="0" applyFont="1" applyFill="1" applyBorder="1"/>
    <xf numFmtId="2" fontId="8" fillId="0" borderId="3" xfId="0" applyNumberFormat="1" applyFont="1" applyFill="1" applyBorder="1"/>
    <xf numFmtId="3" fontId="18" fillId="0" borderId="0" xfId="0" applyNumberFormat="1" applyFont="1" applyFill="1" applyBorder="1" applyAlignment="1">
      <alignment horizontal="right"/>
    </xf>
    <xf numFmtId="0" fontId="16" fillId="0" borderId="0" xfId="0" applyFont="1" applyFill="1" applyBorder="1"/>
    <xf numFmtId="167" fontId="12" fillId="0" borderId="0" xfId="0" applyNumberFormat="1" applyFont="1" applyFill="1" applyBorder="1" applyAlignment="1">
      <alignment horizontal="right"/>
    </xf>
    <xf numFmtId="1" fontId="17" fillId="0" borderId="0" xfId="2" applyNumberFormat="1" applyFont="1" applyFill="1" applyBorder="1"/>
    <xf numFmtId="3" fontId="20" fillId="0" borderId="0" xfId="0" applyNumberFormat="1" applyFont="1" applyFill="1" applyBorder="1"/>
    <xf numFmtId="3" fontId="29" fillId="0" borderId="0" xfId="0" applyNumberFormat="1" applyFont="1" applyFill="1" applyBorder="1"/>
    <xf numFmtId="3" fontId="29" fillId="0" borderId="3" xfId="0" applyNumberFormat="1" applyFont="1" applyFill="1" applyBorder="1"/>
    <xf numFmtId="1" fontId="19" fillId="0" borderId="0" xfId="0" applyNumberFormat="1" applyFont="1" applyFill="1" applyBorder="1"/>
    <xf numFmtId="3" fontId="10" fillId="0" borderId="2" xfId="0" applyNumberFormat="1" applyFont="1" applyFill="1" applyBorder="1"/>
    <xf numFmtId="167" fontId="9" fillId="0" borderId="0" xfId="0" applyNumberFormat="1" applyFont="1" applyFill="1" applyBorder="1"/>
    <xf numFmtId="3" fontId="10" fillId="0" borderId="0" xfId="2" applyNumberFormat="1" applyFont="1" applyFill="1" applyBorder="1"/>
    <xf numFmtId="167" fontId="20" fillId="0" borderId="3" xfId="0" applyNumberFormat="1" applyFont="1" applyFill="1" applyBorder="1"/>
    <xf numFmtId="167" fontId="8" fillId="0" borderId="0" xfId="0" applyNumberFormat="1" applyFont="1" applyFill="1" applyBorder="1"/>
    <xf numFmtId="3" fontId="12" fillId="0" borderId="0" xfId="0" applyNumberFormat="1" applyFont="1" applyFill="1" applyBorder="1"/>
    <xf numFmtId="3" fontId="31" fillId="0" borderId="0" xfId="0" applyNumberFormat="1" applyFont="1" applyFill="1" applyBorder="1"/>
    <xf numFmtId="0" fontId="10" fillId="0" borderId="0" xfId="0" applyFont="1" applyFill="1" applyBorder="1" applyAlignment="1">
      <alignment horizontal="center"/>
    </xf>
    <xf numFmtId="2" fontId="10" fillId="0" borderId="3" xfId="0" applyNumberFormat="1" applyFont="1" applyFill="1" applyBorder="1"/>
    <xf numFmtId="2" fontId="20" fillId="0" borderId="3" xfId="0" applyNumberFormat="1" applyFont="1" applyFill="1" applyBorder="1"/>
    <xf numFmtId="2" fontId="10" fillId="0" borderId="0" xfId="0" applyNumberFormat="1" applyFont="1" applyFill="1" applyBorder="1"/>
    <xf numFmtId="167" fontId="10" fillId="0" borderId="8" xfId="0" applyNumberFormat="1" applyFont="1" applyFill="1" applyBorder="1" applyAlignment="1">
      <alignment horizontal="right"/>
    </xf>
    <xf numFmtId="0" fontId="10" fillId="0" borderId="10" xfId="0" applyFont="1" applyFill="1" applyBorder="1"/>
    <xf numFmtId="0" fontId="10" fillId="0" borderId="7" xfId="0" applyFont="1" applyFill="1" applyBorder="1"/>
    <xf numFmtId="167" fontId="10" fillId="0" borderId="16" xfId="0" applyNumberFormat="1" applyFont="1" applyFill="1" applyBorder="1" applyAlignment="1">
      <alignment horizontal="right"/>
    </xf>
    <xf numFmtId="0" fontId="10" fillId="0" borderId="17" xfId="0" applyFont="1" applyFill="1" applyBorder="1"/>
    <xf numFmtId="0" fontId="10" fillId="0" borderId="18" xfId="0" applyFont="1" applyFill="1" applyBorder="1"/>
    <xf numFmtId="167" fontId="20" fillId="0" borderId="11" xfId="0" applyNumberFormat="1" applyFont="1" applyFill="1" applyBorder="1"/>
    <xf numFmtId="0" fontId="10" fillId="0" borderId="12" xfId="0" applyFont="1" applyFill="1" applyBorder="1"/>
    <xf numFmtId="167" fontId="20" fillId="0" borderId="14" xfId="0" applyNumberFormat="1" applyFont="1" applyFill="1" applyBorder="1"/>
    <xf numFmtId="167" fontId="18" fillId="0" borderId="16" xfId="0" applyNumberFormat="1" applyFont="1" applyFill="1" applyBorder="1"/>
    <xf numFmtId="167" fontId="20" fillId="0" borderId="18" xfId="0" applyNumberFormat="1" applyFont="1" applyFill="1" applyBorder="1"/>
    <xf numFmtId="167" fontId="20" fillId="0" borderId="16" xfId="0" applyNumberFormat="1" applyFont="1" applyFill="1" applyBorder="1"/>
    <xf numFmtId="0" fontId="10" fillId="0" borderId="14" xfId="0" applyFont="1" applyFill="1" applyBorder="1"/>
    <xf numFmtId="167" fontId="12" fillId="0" borderId="19" xfId="0" applyNumberFormat="1" applyFont="1" applyFill="1" applyBorder="1"/>
    <xf numFmtId="0" fontId="10" fillId="0" borderId="20" xfId="0" applyFont="1" applyFill="1" applyBorder="1"/>
    <xf numFmtId="0" fontId="10" fillId="0" borderId="15" xfId="0" applyFont="1" applyFill="1" applyBorder="1"/>
    <xf numFmtId="0" fontId="17" fillId="0" borderId="0" xfId="0" applyFont="1" applyFill="1" applyBorder="1" applyAlignment="1">
      <alignment horizontal="centerContinuous"/>
    </xf>
    <xf numFmtId="169" fontId="12" fillId="0" borderId="0" xfId="0" applyNumberFormat="1" applyFont="1" applyFill="1" applyBorder="1"/>
    <xf numFmtId="0" fontId="0" fillId="0" borderId="0" xfId="0" applyFill="1" applyBorder="1"/>
    <xf numFmtId="3" fontId="10" fillId="0" borderId="0" xfId="0" applyNumberFormat="1" applyFont="1" applyFill="1" applyBorder="1" applyAlignment="1">
      <alignment horizontal="right"/>
    </xf>
    <xf numFmtId="3" fontId="10" fillId="0" borderId="2" xfId="0" applyNumberFormat="1" applyFont="1" applyFill="1" applyBorder="1" applyAlignment="1">
      <alignment horizontal="right"/>
    </xf>
    <xf numFmtId="3" fontId="10" fillId="0" borderId="2" xfId="0" applyNumberFormat="1" applyFont="1" applyFill="1" applyBorder="1" applyAlignment="1">
      <alignment horizontal="left"/>
    </xf>
    <xf numFmtId="0" fontId="0" fillId="0" borderId="0" xfId="0" applyFill="1"/>
    <xf numFmtId="167" fontId="12" fillId="0" borderId="0" xfId="2" applyNumberFormat="1" applyFont="1" applyFill="1" applyBorder="1" applyAlignment="1">
      <alignment horizontal="right"/>
    </xf>
    <xf numFmtId="0" fontId="20" fillId="0" borderId="0" xfId="2" applyFont="1" applyFill="1"/>
    <xf numFmtId="167" fontId="12" fillId="0" borderId="3" xfId="2" applyNumberFormat="1" applyFont="1" applyFill="1" applyBorder="1"/>
    <xf numFmtId="167" fontId="12" fillId="0" borderId="0" xfId="2" applyNumberFormat="1" applyFont="1" applyFill="1" applyBorder="1"/>
    <xf numFmtId="4" fontId="18" fillId="0" borderId="0" xfId="0" applyNumberFormat="1" applyFont="1" applyFill="1" applyBorder="1"/>
    <xf numFmtId="2" fontId="12" fillId="0" borderId="0" xfId="0" applyNumberFormat="1" applyFont="1" applyFill="1" applyBorder="1"/>
    <xf numFmtId="3" fontId="18" fillId="0" borderId="3" xfId="0" applyNumberFormat="1" applyFont="1" applyFill="1" applyBorder="1"/>
    <xf numFmtId="3" fontId="18" fillId="0" borderId="13" xfId="2" applyNumberFormat="1" applyFont="1" applyFill="1" applyBorder="1"/>
    <xf numFmtId="167" fontId="12" fillId="0" borderId="3" xfId="0" applyNumberFormat="1" applyFont="1" applyFill="1" applyBorder="1"/>
    <xf numFmtId="3" fontId="9" fillId="0" borderId="0" xfId="0" applyNumberFormat="1" applyFont="1" applyFill="1" applyBorder="1"/>
    <xf numFmtId="167" fontId="10" fillId="0" borderId="0" xfId="0" applyNumberFormat="1" applyFont="1" applyFill="1" applyBorder="1" applyAlignment="1">
      <alignment horizontal="right"/>
    </xf>
    <xf numFmtId="167" fontId="10" fillId="0" borderId="2" xfId="0" applyNumberFormat="1" applyFont="1" applyFill="1" applyBorder="1" applyAlignment="1">
      <alignment horizontal="right"/>
    </xf>
    <xf numFmtId="3" fontId="12" fillId="0" borderId="3" xfId="0" applyNumberFormat="1" applyFont="1" applyFill="1" applyBorder="1"/>
    <xf numFmtId="167" fontId="20" fillId="0" borderId="0" xfId="2" applyNumberFormat="1" applyFont="1" applyFill="1" applyBorder="1"/>
    <xf numFmtId="169" fontId="12" fillId="0" borderId="3" xfId="0" applyNumberFormat="1" applyFont="1" applyFill="1" applyBorder="1"/>
    <xf numFmtId="167" fontId="12" fillId="0" borderId="2" xfId="0" applyNumberFormat="1" applyFont="1" applyFill="1" applyBorder="1"/>
    <xf numFmtId="167" fontId="29" fillId="0" borderId="0" xfId="2" applyNumberFormat="1" applyFont="1" applyFill="1" applyBorder="1"/>
    <xf numFmtId="167" fontId="12" fillId="0" borderId="3" xfId="2" applyNumberFormat="1" applyFont="1" applyFill="1" applyBorder="1" applyAlignment="1">
      <alignment horizontal="right"/>
    </xf>
    <xf numFmtId="0" fontId="20" fillId="0" borderId="0" xfId="2" applyFont="1" applyFill="1" applyBorder="1"/>
    <xf numFmtId="0" fontId="20" fillId="0" borderId="2" xfId="2" applyFont="1" applyFill="1" applyBorder="1"/>
    <xf numFmtId="167" fontId="20" fillId="0" borderId="3" xfId="2" applyNumberFormat="1" applyFont="1" applyFill="1" applyBorder="1"/>
    <xf numFmtId="167" fontId="20" fillId="0" borderId="13" xfId="2" applyNumberFormat="1" applyFont="1" applyFill="1" applyBorder="1"/>
    <xf numFmtId="169" fontId="12" fillId="0" borderId="3" xfId="2" applyNumberFormat="1" applyFont="1" applyFill="1" applyBorder="1"/>
    <xf numFmtId="3" fontId="10" fillId="0" borderId="0" xfId="2" applyNumberFormat="1" applyFont="1" applyFill="1" applyBorder="1" applyAlignment="1">
      <alignment horizontal="right"/>
    </xf>
    <xf numFmtId="164" fontId="17" fillId="0" borderId="2" xfId="0" applyNumberFormat="1" applyFont="1" applyFill="1" applyBorder="1" applyAlignment="1">
      <alignment horizontal="right"/>
    </xf>
    <xf numFmtId="0" fontId="10" fillId="0" borderId="0" xfId="2" applyFont="1" applyFill="1" applyBorder="1" applyAlignment="1">
      <alignment horizontal="right"/>
    </xf>
    <xf numFmtId="0" fontId="10" fillId="0" borderId="2" xfId="2" applyFont="1" applyFill="1" applyBorder="1" applyAlignment="1">
      <alignment horizontal="right"/>
    </xf>
    <xf numFmtId="3" fontId="10" fillId="0" borderId="2" xfId="2" applyNumberFormat="1" applyFont="1" applyFill="1" applyBorder="1" applyAlignment="1">
      <alignment horizontal="right"/>
    </xf>
    <xf numFmtId="0" fontId="20" fillId="0" borderId="2" xfId="2" applyFont="1" applyFill="1" applyBorder="1" applyAlignment="1">
      <alignment horizontal="right"/>
    </xf>
    <xf numFmtId="3" fontId="9" fillId="0" borderId="3" xfId="0" applyNumberFormat="1" applyFont="1" applyFill="1" applyBorder="1"/>
    <xf numFmtId="167" fontId="20" fillId="0" borderId="2" xfId="0" applyNumberFormat="1" applyFont="1" applyFill="1" applyBorder="1"/>
    <xf numFmtId="165" fontId="8" fillId="0" borderId="0" xfId="0" applyNumberFormat="1" applyFont="1" applyFill="1" applyBorder="1" applyAlignment="1">
      <alignment horizontal="left"/>
    </xf>
    <xf numFmtId="0" fontId="47" fillId="0" borderId="0" xfId="0" applyFont="1" applyFill="1"/>
    <xf numFmtId="2" fontId="12" fillId="0" borderId="3" xfId="0" applyNumberFormat="1" applyFont="1" applyFill="1" applyBorder="1"/>
    <xf numFmtId="2" fontId="18" fillId="0" borderId="3" xfId="0" applyNumberFormat="1" applyFont="1" applyFill="1" applyBorder="1"/>
    <xf numFmtId="2" fontId="19" fillId="0" borderId="3" xfId="0" applyNumberFormat="1" applyFont="1" applyFill="1" applyBorder="1"/>
    <xf numFmtId="170" fontId="19" fillId="0" borderId="0" xfId="3" applyNumberFormat="1" applyFont="1" applyFill="1" applyBorder="1"/>
    <xf numFmtId="167" fontId="9" fillId="0" borderId="0" xfId="0" applyNumberFormat="1" applyFont="1" applyFill="1" applyBorder="1" applyAlignment="1">
      <alignment horizontal="right"/>
    </xf>
    <xf numFmtId="1" fontId="32" fillId="0" borderId="0" xfId="0" applyNumberFormat="1" applyFont="1" applyFill="1" applyBorder="1" applyAlignment="1">
      <alignment horizontal="right"/>
    </xf>
    <xf numFmtId="167" fontId="9" fillId="0" borderId="2" xfId="0" applyNumberFormat="1" applyFont="1" applyFill="1" applyBorder="1" applyAlignment="1">
      <alignment horizontal="right"/>
    </xf>
    <xf numFmtId="171" fontId="24" fillId="0" borderId="0" xfId="0" applyNumberFormat="1" applyFont="1" applyFill="1" applyBorder="1"/>
    <xf numFmtId="172" fontId="25" fillId="0" borderId="0" xfId="0" applyNumberFormat="1" applyFont="1" applyFill="1" applyBorder="1"/>
    <xf numFmtId="168" fontId="21" fillId="0" borderId="3" xfId="0" applyNumberFormat="1" applyFont="1" applyFill="1" applyBorder="1"/>
    <xf numFmtId="172" fontId="21" fillId="0" borderId="3" xfId="0" applyNumberFormat="1" applyFont="1" applyFill="1" applyBorder="1"/>
    <xf numFmtId="171" fontId="27" fillId="0" borderId="0" xfId="0" applyNumberFormat="1" applyFont="1" applyFill="1" applyBorder="1"/>
    <xf numFmtId="171" fontId="21" fillId="0" borderId="3" xfId="0" applyNumberFormat="1" applyFont="1" applyFill="1" applyBorder="1"/>
    <xf numFmtId="171" fontId="12" fillId="0" borderId="5" xfId="0" applyNumberFormat="1" applyFont="1" applyFill="1" applyBorder="1"/>
    <xf numFmtId="0" fontId="29" fillId="0" borderId="0" xfId="0" applyFont="1" applyFill="1" applyBorder="1"/>
    <xf numFmtId="3" fontId="20" fillId="0" borderId="3" xfId="0" applyNumberFormat="1" applyFont="1" applyFill="1" applyBorder="1"/>
    <xf numFmtId="3" fontId="18" fillId="0" borderId="2" xfId="0" applyNumberFormat="1" applyFont="1" applyFill="1" applyBorder="1"/>
    <xf numFmtId="3" fontId="41" fillId="0" borderId="3" xfId="0" applyNumberFormat="1" applyFont="1" applyFill="1" applyBorder="1"/>
    <xf numFmtId="0" fontId="41" fillId="0" borderId="3" xfId="0" applyFont="1" applyFill="1" applyBorder="1"/>
    <xf numFmtId="167" fontId="20" fillId="0" borderId="0" xfId="2" applyNumberFormat="1" applyFont="1" applyFill="1" applyBorder="1" applyAlignment="1">
      <alignment horizontal="right"/>
    </xf>
    <xf numFmtId="0" fontId="46" fillId="0" borderId="0" xfId="0" applyFont="1" applyFill="1"/>
    <xf numFmtId="169" fontId="20" fillId="0" borderId="3" xfId="0" applyNumberFormat="1" applyFont="1" applyFill="1" applyBorder="1"/>
    <xf numFmtId="169" fontId="12" fillId="0" borderId="0" xfId="0" quotePrefix="1" applyNumberFormat="1" applyFont="1" applyFill="1" applyBorder="1"/>
    <xf numFmtId="0" fontId="23" fillId="0" borderId="0" xfId="0" applyFont="1" applyFill="1"/>
    <xf numFmtId="167" fontId="0" fillId="0" borderId="0" xfId="0" applyNumberFormat="1" applyFill="1"/>
    <xf numFmtId="3" fontId="19" fillId="0" borderId="0" xfId="0" applyNumberFormat="1" applyFont="1" applyFill="1" applyBorder="1"/>
    <xf numFmtId="3" fontId="17" fillId="0" borderId="0" xfId="0" applyNumberFormat="1" applyFont="1" applyFill="1" applyBorder="1"/>
    <xf numFmtId="3" fontId="19" fillId="0" borderId="0" xfId="0" quotePrefix="1" applyNumberFormat="1" applyFont="1" applyFill="1" applyBorder="1"/>
    <xf numFmtId="3" fontId="17" fillId="0" borderId="3" xfId="0" applyNumberFormat="1" applyFont="1" applyFill="1" applyBorder="1"/>
    <xf numFmtId="3" fontId="19" fillId="0" borderId="3" xfId="0" applyNumberFormat="1" applyFont="1" applyFill="1" applyBorder="1"/>
    <xf numFmtId="3" fontId="19" fillId="0" borderId="2" xfId="0" applyNumberFormat="1" applyFont="1" applyFill="1" applyBorder="1"/>
    <xf numFmtId="3" fontId="17" fillId="0" borderId="2" xfId="0" applyNumberFormat="1" applyFont="1" applyFill="1" applyBorder="1"/>
    <xf numFmtId="0" fontId="33" fillId="0" borderId="0" xfId="0" applyFont="1" applyFill="1"/>
    <xf numFmtId="0" fontId="23" fillId="0" borderId="0" xfId="0" applyFont="1" applyFill="1" applyBorder="1"/>
    <xf numFmtId="0" fontId="9" fillId="0" borderId="3" xfId="2" applyFont="1" applyFill="1" applyBorder="1"/>
    <xf numFmtId="0" fontId="10" fillId="0" borderId="3" xfId="2" applyFont="1" applyFill="1" applyBorder="1"/>
    <xf numFmtId="3" fontId="20" fillId="0" borderId="0" xfId="2" applyNumberFormat="1" applyFont="1" applyFill="1" applyBorder="1"/>
    <xf numFmtId="3" fontId="9" fillId="0" borderId="3" xfId="2" applyNumberFormat="1" applyFont="1" applyFill="1" applyBorder="1" applyAlignment="1">
      <alignment horizontal="center"/>
    </xf>
    <xf numFmtId="0" fontId="9" fillId="0" borderId="0" xfId="2" applyFont="1" applyFill="1" applyBorder="1"/>
    <xf numFmtId="167" fontId="15" fillId="0" borderId="0" xfId="1" applyFont="1" applyFill="1" applyBorder="1"/>
    <xf numFmtId="3" fontId="9" fillId="0" borderId="0" xfId="2" applyNumberFormat="1" applyFont="1" applyFill="1" applyBorder="1" applyAlignment="1">
      <alignment horizontal="center"/>
    </xf>
    <xf numFmtId="0" fontId="40" fillId="0" borderId="0" xfId="2" applyFont="1" applyFill="1" applyBorder="1"/>
    <xf numFmtId="3" fontId="12" fillId="0" borderId="0" xfId="2" applyNumberFormat="1" applyFont="1" applyFill="1" applyBorder="1" applyAlignment="1">
      <alignment horizontal="right"/>
    </xf>
    <xf numFmtId="0" fontId="0" fillId="0" borderId="2" xfId="0" applyFill="1" applyBorder="1"/>
    <xf numFmtId="0" fontId="10" fillId="0" borderId="2" xfId="2" applyFont="1" applyFill="1" applyBorder="1"/>
    <xf numFmtId="0" fontId="10" fillId="0" borderId="0" xfId="2" applyFont="1" applyFill="1" applyBorder="1" applyAlignment="1">
      <alignment horizontal="center"/>
    </xf>
    <xf numFmtId="0" fontId="10" fillId="0" borderId="0" xfId="2" applyFont="1" applyFill="1" applyBorder="1"/>
    <xf numFmtId="3" fontId="17" fillId="0" borderId="3" xfId="2" applyNumberFormat="1" applyFont="1" applyFill="1" applyBorder="1"/>
    <xf numFmtId="0" fontId="45" fillId="0" borderId="0" xfId="0" applyFont="1" applyFill="1" applyBorder="1" applyAlignment="1"/>
    <xf numFmtId="3" fontId="35" fillId="0" borderId="3" xfId="0" applyNumberFormat="1" applyFont="1" applyFill="1" applyBorder="1"/>
    <xf numFmtId="167" fontId="15" fillId="0" borderId="3" xfId="0" applyNumberFormat="1" applyFont="1" applyFill="1" applyBorder="1"/>
    <xf numFmtId="16" fontId="10" fillId="0" borderId="0" xfId="0" applyNumberFormat="1" applyFont="1" applyFill="1" applyBorder="1" applyAlignment="1">
      <alignment horizontal="right"/>
    </xf>
    <xf numFmtId="167" fontId="47" fillId="0" borderId="0" xfId="0" applyNumberFormat="1" applyFont="1" applyFill="1"/>
    <xf numFmtId="0" fontId="10" fillId="0" borderId="3" xfId="0" applyFont="1" applyFill="1" applyBorder="1" applyAlignment="1">
      <alignment horizontal="left"/>
    </xf>
    <xf numFmtId="0" fontId="10" fillId="0" borderId="3" xfId="0" applyFont="1" applyFill="1" applyBorder="1" applyAlignment="1">
      <alignment horizontal="right"/>
    </xf>
    <xf numFmtId="17" fontId="10" fillId="0" borderId="0" xfId="0" applyNumberFormat="1" applyFont="1" applyFill="1" applyBorder="1" applyAlignment="1">
      <alignment horizontal="right"/>
    </xf>
    <xf numFmtId="169" fontId="17" fillId="0" borderId="3" xfId="0" applyNumberFormat="1" applyFont="1" applyFill="1" applyBorder="1"/>
    <xf numFmtId="169" fontId="33" fillId="0" borderId="0" xfId="0" applyNumberFormat="1" applyFont="1" applyFill="1"/>
    <xf numFmtId="3" fontId="15" fillId="0" borderId="3" xfId="0" applyNumberFormat="1" applyFont="1" applyFill="1" applyBorder="1"/>
    <xf numFmtId="3" fontId="8" fillId="0" borderId="3" xfId="0" applyNumberFormat="1" applyFont="1" applyFill="1" applyBorder="1"/>
    <xf numFmtId="0" fontId="33" fillId="0" borderId="0" xfId="0" applyFont="1" applyFill="1" applyBorder="1"/>
    <xf numFmtId="4" fontId="17" fillId="0" borderId="3" xfId="0" applyNumberFormat="1" applyFont="1" applyFill="1" applyBorder="1"/>
    <xf numFmtId="0" fontId="53" fillId="0" borderId="0" xfId="0" applyFont="1" applyFill="1" applyBorder="1"/>
    <xf numFmtId="0" fontId="16" fillId="0" borderId="13" xfId="0" applyFont="1" applyFill="1" applyBorder="1" applyAlignment="1"/>
    <xf numFmtId="3" fontId="20" fillId="0" borderId="0" xfId="2" applyNumberFormat="1" applyFont="1" applyFill="1" applyBorder="1" applyAlignment="1">
      <alignment horizontal="right"/>
    </xf>
    <xf numFmtId="0" fontId="9" fillId="0" borderId="13" xfId="2" applyFont="1" applyFill="1" applyBorder="1"/>
    <xf numFmtId="0" fontId="10" fillId="0" borderId="13" xfId="2" applyFont="1" applyFill="1" applyBorder="1"/>
    <xf numFmtId="167" fontId="19" fillId="0" borderId="13" xfId="1" applyFont="1" applyFill="1" applyBorder="1"/>
    <xf numFmtId="3" fontId="12" fillId="0" borderId="13" xfId="2" applyNumberFormat="1" applyFont="1" applyFill="1" applyBorder="1"/>
    <xf numFmtId="1" fontId="17" fillId="0" borderId="13" xfId="2" applyNumberFormat="1" applyFont="1" applyFill="1" applyBorder="1"/>
    <xf numFmtId="167" fontId="12" fillId="0" borderId="13" xfId="0" applyNumberFormat="1" applyFont="1" applyFill="1" applyBorder="1"/>
    <xf numFmtId="167" fontId="12" fillId="0" borderId="13" xfId="2" applyNumberFormat="1" applyFont="1" applyFill="1" applyBorder="1" applyAlignment="1">
      <alignment horizontal="right"/>
    </xf>
    <xf numFmtId="3" fontId="19" fillId="0" borderId="3" xfId="2" applyNumberFormat="1" applyFont="1" applyFill="1" applyBorder="1" applyAlignment="1">
      <alignment horizontal="right"/>
    </xf>
    <xf numFmtId="1" fontId="19" fillId="0" borderId="13" xfId="2" applyNumberFormat="1" applyFont="1" applyFill="1" applyBorder="1"/>
    <xf numFmtId="167" fontId="10" fillId="0" borderId="9" xfId="0" applyNumberFormat="1" applyFont="1" applyFill="1" applyBorder="1" applyAlignment="1">
      <alignment horizontal="right"/>
    </xf>
    <xf numFmtId="167" fontId="18" fillId="0" borderId="2" xfId="0" applyNumberFormat="1" applyFont="1" applyFill="1" applyBorder="1"/>
    <xf numFmtId="167" fontId="12" fillId="0" borderId="4" xfId="0" applyNumberFormat="1" applyFont="1" applyFill="1" applyBorder="1"/>
    <xf numFmtId="3" fontId="10" fillId="0" borderId="0" xfId="0" applyNumberFormat="1" applyFont="1" applyFill="1"/>
    <xf numFmtId="167" fontId="19" fillId="0" borderId="2" xfId="0" applyNumberFormat="1" applyFont="1" applyFill="1" applyBorder="1"/>
    <xf numFmtId="3" fontId="19" fillId="0" borderId="0" xfId="2" applyNumberFormat="1" applyFont="1" applyFill="1" applyBorder="1" applyAlignment="1">
      <alignment horizontal="right"/>
    </xf>
    <xf numFmtId="3" fontId="17" fillId="0" borderId="0" xfId="2" applyNumberFormat="1" applyFont="1" applyFill="1" applyBorder="1" applyAlignment="1">
      <alignment horizontal="right"/>
    </xf>
    <xf numFmtId="167" fontId="18" fillId="0" borderId="0" xfId="0" applyNumberFormat="1" applyFont="1" applyFill="1" applyBorder="1"/>
    <xf numFmtId="14" fontId="9" fillId="0" borderId="0" xfId="0" applyNumberFormat="1" applyFont="1" applyFill="1"/>
    <xf numFmtId="170" fontId="19" fillId="0" borderId="2" xfId="3" applyNumberFormat="1" applyFont="1" applyFill="1" applyBorder="1"/>
    <xf numFmtId="170" fontId="19" fillId="0" borderId="3" xfId="3" applyNumberFormat="1" applyFont="1" applyFill="1" applyBorder="1"/>
    <xf numFmtId="170" fontId="19" fillId="0" borderId="3" xfId="0" applyNumberFormat="1" applyFont="1" applyFill="1" applyBorder="1"/>
    <xf numFmtId="9" fontId="10" fillId="0" borderId="0" xfId="3" applyFont="1" applyFill="1"/>
    <xf numFmtId="2" fontId="10" fillId="0" borderId="0" xfId="0" applyNumberFormat="1" applyFont="1" applyFill="1"/>
    <xf numFmtId="167" fontId="56" fillId="0" borderId="2" xfId="0" applyNumberFormat="1" applyFont="1" applyFill="1" applyBorder="1"/>
    <xf numFmtId="0" fontId="10" fillId="0" borderId="0" xfId="2" applyFont="1" applyFill="1" applyBorder="1" applyAlignment="1"/>
    <xf numFmtId="168" fontId="10" fillId="0" borderId="0" xfId="0" applyNumberFormat="1" applyFont="1" applyFill="1" applyBorder="1"/>
    <xf numFmtId="3" fontId="33" fillId="0" borderId="0" xfId="0" applyNumberFormat="1" applyFont="1" applyFill="1"/>
    <xf numFmtId="3" fontId="20" fillId="0" borderId="3" xfId="2" applyNumberFormat="1" applyFont="1" applyFill="1" applyBorder="1"/>
    <xf numFmtId="3" fontId="23" fillId="0" borderId="0" xfId="0" applyNumberFormat="1" applyFont="1" applyFill="1"/>
    <xf numFmtId="171" fontId="55" fillId="0" borderId="3" xfId="0" applyNumberFormat="1" applyFont="1" applyFill="1" applyBorder="1"/>
    <xf numFmtId="168" fontId="18" fillId="0" borderId="3" xfId="0" applyNumberFormat="1" applyFont="1" applyFill="1" applyBorder="1"/>
    <xf numFmtId="0" fontId="8" fillId="0" borderId="0" xfId="2" applyFont="1" applyFill="1" applyBorder="1" applyAlignment="1"/>
    <xf numFmtId="0" fontId="60" fillId="0" borderId="0" xfId="0" applyFont="1" applyFill="1"/>
    <xf numFmtId="2" fontId="17" fillId="0" borderId="0" xfId="0" applyNumberFormat="1" applyFont="1" applyFill="1" applyBorder="1"/>
    <xf numFmtId="167" fontId="8" fillId="0" borderId="2" xfId="0" applyNumberFormat="1" applyFont="1" applyFill="1" applyBorder="1"/>
    <xf numFmtId="2" fontId="17" fillId="0" borderId="2" xfId="0" applyNumberFormat="1" applyFont="1" applyFill="1" applyBorder="1"/>
    <xf numFmtId="167" fontId="64" fillId="0" borderId="0" xfId="0" applyNumberFormat="1" applyFont="1" applyFill="1" applyBorder="1"/>
    <xf numFmtId="167" fontId="58" fillId="0" borderId="0" xfId="0" applyNumberFormat="1" applyFont="1" applyFill="1" applyAlignment="1">
      <alignment horizontal="right"/>
    </xf>
    <xf numFmtId="167" fontId="65" fillId="0" borderId="3" xfId="0" applyNumberFormat="1" applyFont="1" applyFill="1" applyBorder="1" applyAlignment="1">
      <alignment horizontal="right"/>
    </xf>
    <xf numFmtId="167" fontId="66" fillId="0" borderId="3" xfId="0" applyNumberFormat="1" applyFont="1" applyFill="1" applyBorder="1"/>
    <xf numFmtId="0" fontId="9" fillId="0" borderId="0" xfId="0" applyFont="1" applyFill="1" applyAlignment="1">
      <alignment horizontal="right"/>
    </xf>
    <xf numFmtId="3" fontId="67" fillId="0" borderId="0" xfId="0" applyNumberFormat="1" applyFont="1" applyFill="1" applyBorder="1"/>
    <xf numFmtId="169" fontId="12" fillId="0" borderId="5" xfId="0" applyNumberFormat="1" applyFont="1" applyFill="1" applyBorder="1"/>
    <xf numFmtId="167" fontId="70" fillId="0" borderId="0" xfId="0" applyNumberFormat="1" applyFont="1" applyFill="1" applyBorder="1" applyAlignment="1">
      <alignment horizontal="left"/>
    </xf>
    <xf numFmtId="169" fontId="12" fillId="0" borderId="2" xfId="0" applyNumberFormat="1" applyFont="1" applyFill="1" applyBorder="1"/>
    <xf numFmtId="3" fontId="19" fillId="0" borderId="3" xfId="0" applyNumberFormat="1" applyFont="1" applyFill="1" applyBorder="1" applyAlignment="1">
      <alignment horizontal="right"/>
    </xf>
    <xf numFmtId="167" fontId="56" fillId="0" borderId="3" xfId="0" applyNumberFormat="1" applyFont="1" applyFill="1" applyBorder="1"/>
    <xf numFmtId="0" fontId="17" fillId="0" borderId="13" xfId="0" applyFont="1" applyFill="1" applyBorder="1" applyAlignment="1">
      <alignment horizontal="right"/>
    </xf>
    <xf numFmtId="0" fontId="10" fillId="0" borderId="13" xfId="0" applyFont="1" applyFill="1" applyBorder="1" applyAlignment="1">
      <alignment horizontal="right"/>
    </xf>
    <xf numFmtId="169" fontId="19" fillId="0" borderId="0" xfId="0" applyNumberFormat="1" applyFont="1" applyFill="1" applyBorder="1"/>
    <xf numFmtId="1" fontId="18" fillId="0" borderId="0" xfId="0" applyNumberFormat="1" applyFont="1" applyFill="1" applyBorder="1"/>
    <xf numFmtId="1" fontId="18" fillId="0" borderId="0" xfId="0" applyNumberFormat="1" applyFont="1" applyFill="1" applyBorder="1" applyAlignment="1">
      <alignment horizontal="right"/>
    </xf>
    <xf numFmtId="1" fontId="18" fillId="0" borderId="3" xfId="0" applyNumberFormat="1" applyFont="1" applyFill="1" applyBorder="1"/>
    <xf numFmtId="1" fontId="10" fillId="0" borderId="0" xfId="0" applyNumberFormat="1" applyFont="1" applyFill="1"/>
    <xf numFmtId="1" fontId="0" fillId="0" borderId="0" xfId="0" applyNumberFormat="1" applyFill="1"/>
    <xf numFmtId="0" fontId="10" fillId="0" borderId="13" xfId="0" applyFont="1" applyFill="1" applyBorder="1"/>
    <xf numFmtId="3" fontId="17" fillId="0" borderId="13" xfId="0" applyNumberFormat="1" applyFont="1" applyFill="1" applyBorder="1"/>
    <xf numFmtId="0" fontId="18" fillId="0" borderId="13" xfId="0" applyFont="1" applyFill="1" applyBorder="1"/>
    <xf numFmtId="3" fontId="19" fillId="0" borderId="13" xfId="0" applyNumberFormat="1" applyFont="1" applyFill="1" applyBorder="1"/>
    <xf numFmtId="167" fontId="20" fillId="0" borderId="13" xfId="0" applyNumberFormat="1" applyFont="1" applyFill="1" applyBorder="1"/>
    <xf numFmtId="0" fontId="43" fillId="0" borderId="0" xfId="0" applyFont="1" applyFill="1" applyBorder="1" applyAlignment="1"/>
    <xf numFmtId="0" fontId="71" fillId="0" borderId="0" xfId="0" applyFont="1" applyAlignment="1">
      <alignment vertical="center"/>
    </xf>
    <xf numFmtId="14" fontId="72" fillId="0" borderId="0" xfId="0" applyNumberFormat="1" applyFont="1" applyFill="1"/>
    <xf numFmtId="0" fontId="33" fillId="0" borderId="0" xfId="0" applyFont="1"/>
    <xf numFmtId="0" fontId="73" fillId="0" borderId="0" xfId="5" applyFill="1" applyAlignment="1" applyProtection="1"/>
    <xf numFmtId="14" fontId="0" fillId="0" borderId="0" xfId="0" applyNumberFormat="1" applyFill="1"/>
    <xf numFmtId="0" fontId="74" fillId="0" borderId="0" xfId="0" applyFont="1" applyFill="1"/>
    <xf numFmtId="3" fontId="47" fillId="0" borderId="0" xfId="0" applyNumberFormat="1" applyFont="1" applyFill="1"/>
    <xf numFmtId="3" fontId="17" fillId="0" borderId="0" xfId="2" applyNumberFormat="1" applyFont="1" applyFill="1" applyBorder="1"/>
    <xf numFmtId="3" fontId="0" fillId="0" borderId="0" xfId="0" applyNumberFormat="1" applyFill="1"/>
    <xf numFmtId="167" fontId="69" fillId="0" borderId="0" xfId="0" applyNumberFormat="1" applyFont="1" applyFill="1" applyAlignment="1">
      <alignment horizontal="right"/>
    </xf>
    <xf numFmtId="168" fontId="29" fillId="0" borderId="0" xfId="0" applyNumberFormat="1" applyFont="1" applyFill="1" applyBorder="1"/>
    <xf numFmtId="0" fontId="69" fillId="0" borderId="0" xfId="0" applyFont="1" applyFill="1" applyAlignment="1">
      <alignment horizontal="right"/>
    </xf>
    <xf numFmtId="2" fontId="29" fillId="0" borderId="0" xfId="0" applyNumberFormat="1" applyFont="1" applyFill="1" applyBorder="1"/>
    <xf numFmtId="167" fontId="59" fillId="0" borderId="0" xfId="0" applyNumberFormat="1" applyFont="1" applyFill="1" applyAlignment="1">
      <alignment horizontal="right"/>
    </xf>
    <xf numFmtId="0" fontId="68" fillId="0" borderId="0" xfId="0" applyFont="1" applyFill="1"/>
    <xf numFmtId="0" fontId="58" fillId="0" borderId="0" xfId="0" applyFont="1" applyFill="1" applyAlignment="1">
      <alignment horizontal="right"/>
    </xf>
    <xf numFmtId="167" fontId="18" fillId="0" borderId="3" xfId="0" applyNumberFormat="1" applyFont="1" applyFill="1" applyBorder="1"/>
    <xf numFmtId="2" fontId="18" fillId="0" borderId="0" xfId="0" applyNumberFormat="1" applyFont="1" applyFill="1" applyAlignment="1">
      <alignment horizontal="right"/>
    </xf>
    <xf numFmtId="167" fontId="17" fillId="0" borderId="0" xfId="0" applyNumberFormat="1" applyFont="1" applyFill="1" applyBorder="1"/>
    <xf numFmtId="168" fontId="75" fillId="0" borderId="3" xfId="0" applyNumberFormat="1" applyFont="1" applyFill="1" applyBorder="1"/>
    <xf numFmtId="171" fontId="19" fillId="0" borderId="22" xfId="0" applyNumberFormat="1" applyFont="1" applyFill="1" applyBorder="1"/>
    <xf numFmtId="0" fontId="10" fillId="0" borderId="0" xfId="0" applyFont="1" applyFill="1" applyBorder="1" applyAlignment="1"/>
    <xf numFmtId="0" fontId="3" fillId="0" borderId="0" xfId="0" applyFont="1" applyFill="1" applyAlignment="1"/>
    <xf numFmtId="0" fontId="3" fillId="0" borderId="3" xfId="0" applyFont="1" applyFill="1" applyBorder="1" applyAlignment="1"/>
    <xf numFmtId="3" fontId="10" fillId="0" borderId="13" xfId="0" applyNumberFormat="1" applyFont="1" applyFill="1" applyBorder="1" applyAlignment="1">
      <alignment horizontal="right"/>
    </xf>
    <xf numFmtId="0" fontId="8" fillId="0" borderId="3" xfId="0" applyFont="1" applyFill="1" applyBorder="1" applyAlignment="1"/>
    <xf numFmtId="0" fontId="0" fillId="0" borderId="0" xfId="0" applyFill="1" applyAlignment="1"/>
    <xf numFmtId="0" fontId="0" fillId="0" borderId="2" xfId="0" applyFill="1" applyBorder="1" applyAlignment="1"/>
    <xf numFmtId="0" fontId="0" fillId="0" borderId="13" xfId="0" applyFill="1" applyBorder="1" applyAlignment="1"/>
    <xf numFmtId="0" fontId="0" fillId="0" borderId="3" xfId="0" applyFill="1" applyBorder="1" applyAlignment="1"/>
    <xf numFmtId="0" fontId="8" fillId="0" borderId="0" xfId="0" applyFont="1" applyFill="1" applyBorder="1" applyAlignment="1"/>
    <xf numFmtId="0" fontId="8" fillId="0" borderId="2" xfId="0" applyFont="1" applyFill="1" applyBorder="1" applyAlignment="1"/>
    <xf numFmtId="0" fontId="9" fillId="0" borderId="0" xfId="2" applyFont="1" applyFill="1" applyBorder="1" applyAlignment="1"/>
    <xf numFmtId="0" fontId="0" fillId="0" borderId="0" xfId="0" applyFill="1" applyBorder="1" applyAlignment="1"/>
    <xf numFmtId="0" fontId="9" fillId="0" borderId="2" xfId="2" applyFont="1" applyFill="1" applyBorder="1" applyAlignment="1"/>
    <xf numFmtId="0" fontId="17" fillId="0" borderId="0" xfId="0" applyFont="1" applyFill="1" applyBorder="1" applyAlignment="1">
      <alignment horizontal="left"/>
    </xf>
    <xf numFmtId="0" fontId="17" fillId="0" borderId="0" xfId="0" applyFont="1" applyFill="1" applyBorder="1" applyAlignment="1">
      <alignment horizontal="right"/>
    </xf>
    <xf numFmtId="0" fontId="10" fillId="0" borderId="3" xfId="2" applyFont="1" applyFill="1" applyBorder="1" applyAlignment="1"/>
    <xf numFmtId="0" fontId="3" fillId="0" borderId="0" xfId="0" applyFont="1" applyFill="1" applyBorder="1" applyAlignment="1"/>
    <xf numFmtId="0" fontId="17" fillId="0" borderId="2" xfId="0" applyFont="1" applyFill="1" applyBorder="1" applyAlignment="1">
      <alignment horizontal="right"/>
    </xf>
    <xf numFmtId="0" fontId="10" fillId="0" borderId="0" xfId="0" applyFont="1" applyFill="1" applyBorder="1" applyAlignment="1">
      <alignment horizontal="right"/>
    </xf>
    <xf numFmtId="0" fontId="50" fillId="0" borderId="0" xfId="0" applyFont="1" applyFill="1" applyBorder="1" applyAlignment="1"/>
    <xf numFmtId="0" fontId="3" fillId="0" borderId="2" xfId="0" applyFont="1" applyFill="1" applyBorder="1" applyAlignment="1"/>
    <xf numFmtId="0" fontId="10" fillId="0" borderId="2" xfId="0" applyFont="1" applyFill="1" applyBorder="1" applyAlignment="1">
      <alignment horizontal="right"/>
    </xf>
    <xf numFmtId="0" fontId="8" fillId="0" borderId="3" xfId="0" applyFont="1" applyFill="1" applyBorder="1" applyAlignment="1">
      <alignment horizontal="right"/>
    </xf>
    <xf numFmtId="0" fontId="7" fillId="0" borderId="0" xfId="0" applyFont="1" applyFill="1"/>
    <xf numFmtId="0" fontId="8" fillId="0" borderId="0" xfId="0" applyFont="1" applyFill="1"/>
    <xf numFmtId="3" fontId="8" fillId="0" borderId="0" xfId="0" applyNumberFormat="1" applyFont="1" applyFill="1"/>
    <xf numFmtId="3" fontId="9" fillId="0" borderId="7" xfId="0" applyNumberFormat="1" applyFont="1" applyFill="1" applyBorder="1" applyAlignment="1">
      <alignment horizontal="center"/>
    </xf>
    <xf numFmtId="0" fontId="8" fillId="0" borderId="8" xfId="0" applyFont="1" applyFill="1" applyBorder="1"/>
    <xf numFmtId="0" fontId="8" fillId="0" borderId="9" xfId="0" applyFont="1" applyFill="1" applyBorder="1" applyAlignment="1">
      <alignment horizontal="center"/>
    </xf>
    <xf numFmtId="0" fontId="11" fillId="0" borderId="9" xfId="0" applyFont="1" applyFill="1" applyBorder="1"/>
    <xf numFmtId="165" fontId="11" fillId="0" borderId="9" xfId="0" applyNumberFormat="1" applyFont="1" applyFill="1" applyBorder="1" applyAlignment="1">
      <alignment horizontal="center"/>
    </xf>
    <xf numFmtId="0" fontId="9" fillId="0" borderId="9" xfId="0" applyFont="1" applyFill="1" applyBorder="1"/>
    <xf numFmtId="167" fontId="12" fillId="0" borderId="9" xfId="0" applyNumberFormat="1" applyFont="1" applyFill="1" applyBorder="1" applyAlignment="1">
      <alignment horizontal="center"/>
    </xf>
    <xf numFmtId="167" fontId="12" fillId="0" borderId="10" xfId="0" applyNumberFormat="1" applyFont="1" applyFill="1" applyBorder="1" applyAlignment="1">
      <alignment horizontal="center"/>
    </xf>
    <xf numFmtId="1" fontId="13" fillId="0" borderId="0" xfId="0" applyNumberFormat="1" applyFont="1" applyFill="1"/>
    <xf numFmtId="0" fontId="0" fillId="0" borderId="0" xfId="0" applyFill="1" applyAlignment="1">
      <alignment horizontal="center"/>
    </xf>
    <xf numFmtId="15" fontId="9" fillId="0" borderId="0" xfId="0" applyNumberFormat="1" applyFont="1" applyFill="1" applyAlignment="1">
      <alignment horizontal="right"/>
    </xf>
    <xf numFmtId="2" fontId="9" fillId="0" borderId="0" xfId="0" applyNumberFormat="1" applyFont="1" applyFill="1" applyAlignment="1">
      <alignment horizontal="right"/>
    </xf>
    <xf numFmtId="0" fontId="36" fillId="0" borderId="3" xfId="0" applyFont="1" applyFill="1" applyBorder="1"/>
    <xf numFmtId="0" fontId="8" fillId="0" borderId="3" xfId="0" applyFont="1" applyFill="1" applyBorder="1" applyAlignment="1">
      <alignment horizontal="center"/>
    </xf>
    <xf numFmtId="4" fontId="10" fillId="0" borderId="0" xfId="0" applyNumberFormat="1" applyFont="1" applyFill="1"/>
    <xf numFmtId="169" fontId="15" fillId="0" borderId="3" xfId="0" applyNumberFormat="1" applyFont="1" applyFill="1" applyBorder="1"/>
    <xf numFmtId="0" fontId="8" fillId="0" borderId="5" xfId="0" applyFont="1" applyFill="1" applyBorder="1" applyAlignment="1">
      <alignment horizontal="center"/>
    </xf>
    <xf numFmtId="0" fontId="8" fillId="0" borderId="2" xfId="0" applyFont="1" applyFill="1" applyBorder="1" applyAlignment="1">
      <alignment horizontal="center"/>
    </xf>
    <xf numFmtId="166" fontId="11" fillId="0" borderId="0" xfId="0" applyNumberFormat="1" applyFont="1" applyFill="1" applyBorder="1" applyAlignment="1">
      <alignment horizontal="center"/>
    </xf>
    <xf numFmtId="167" fontId="12" fillId="0" borderId="0" xfId="0" applyNumberFormat="1" applyFont="1" applyFill="1" applyAlignment="1">
      <alignment horizontal="center"/>
    </xf>
    <xf numFmtId="173" fontId="10" fillId="0" borderId="0" xfId="0" applyNumberFormat="1" applyFont="1" applyFill="1" applyBorder="1" applyAlignment="1">
      <alignment horizontal="right"/>
    </xf>
    <xf numFmtId="173" fontId="10" fillId="0" borderId="0" xfId="0" applyNumberFormat="1" applyFont="1" applyFill="1" applyBorder="1"/>
    <xf numFmtId="167" fontId="10" fillId="0" borderId="0" xfId="0" applyNumberFormat="1" applyFont="1" applyFill="1" applyAlignment="1">
      <alignment horizontal="right"/>
    </xf>
    <xf numFmtId="0" fontId="10" fillId="0" borderId="0" xfId="0" applyFont="1" applyFill="1" applyAlignment="1">
      <alignment horizontal="right"/>
    </xf>
    <xf numFmtId="0" fontId="9" fillId="0" borderId="2" xfId="0" applyFont="1" applyFill="1" applyBorder="1"/>
    <xf numFmtId="49" fontId="9" fillId="0" borderId="13" xfId="0" applyNumberFormat="1" applyFont="1" applyFill="1" applyBorder="1" applyAlignment="1">
      <alignment horizontal="center"/>
    </xf>
    <xf numFmtId="171" fontId="21" fillId="0" borderId="0" xfId="0" applyNumberFormat="1" applyFont="1" applyFill="1" applyBorder="1" applyAlignment="1">
      <alignment horizontal="right"/>
    </xf>
    <xf numFmtId="0" fontId="9" fillId="0" borderId="0" xfId="0" applyFont="1" applyFill="1" applyBorder="1" applyAlignment="1">
      <alignment horizontal="center"/>
    </xf>
    <xf numFmtId="171" fontId="21" fillId="0" borderId="3" xfId="0" applyNumberFormat="1" applyFont="1" applyFill="1" applyBorder="1" applyAlignment="1">
      <alignment horizontal="right"/>
    </xf>
    <xf numFmtId="0" fontId="9" fillId="0" borderId="0" xfId="0" applyFont="1" applyFill="1" applyBorder="1" applyAlignment="1">
      <alignment horizontal="left"/>
    </xf>
    <xf numFmtId="167" fontId="15" fillId="0" borderId="0" xfId="0" applyNumberFormat="1" applyFont="1" applyFill="1" applyBorder="1"/>
    <xf numFmtId="168" fontId="22" fillId="0" borderId="0" xfId="0" applyNumberFormat="1" applyFont="1" applyFill="1" applyBorder="1"/>
    <xf numFmtId="167" fontId="25" fillId="0" borderId="0" xfId="0" applyNumberFormat="1" applyFont="1" applyFill="1" applyBorder="1"/>
    <xf numFmtId="165" fontId="22" fillId="0" borderId="2" xfId="0" applyNumberFormat="1" applyFont="1" applyFill="1" applyBorder="1" applyAlignment="1">
      <alignment horizontal="center"/>
    </xf>
    <xf numFmtId="167" fontId="23" fillId="0" borderId="0" xfId="0" applyNumberFormat="1" applyFont="1" applyFill="1"/>
    <xf numFmtId="49" fontId="22" fillId="0" borderId="3" xfId="0" applyNumberFormat="1" applyFont="1" applyFill="1" applyBorder="1" applyAlignment="1">
      <alignment horizontal="center"/>
    </xf>
    <xf numFmtId="0" fontId="23" fillId="0" borderId="0" xfId="0" applyFont="1" applyFill="1" applyBorder="1" applyAlignment="1">
      <alignment horizontal="center"/>
    </xf>
    <xf numFmtId="0" fontId="22" fillId="0" borderId="3" xfId="0" applyFont="1" applyFill="1" applyBorder="1" applyAlignment="1">
      <alignment horizontal="center"/>
    </xf>
    <xf numFmtId="172" fontId="10" fillId="0" borderId="0" xfId="0" applyNumberFormat="1" applyFont="1" applyFill="1" applyBorder="1"/>
    <xf numFmtId="171" fontId="10" fillId="0" borderId="0" xfId="0" applyNumberFormat="1" applyFont="1" applyFill="1" applyBorder="1"/>
    <xf numFmtId="1" fontId="10" fillId="0" borderId="0" xfId="0" applyNumberFormat="1" applyFont="1" applyFill="1" applyBorder="1"/>
    <xf numFmtId="172" fontId="10" fillId="0" borderId="0" xfId="0" applyNumberFormat="1" applyFont="1" applyFill="1"/>
    <xf numFmtId="0" fontId="42" fillId="0" borderId="0" xfId="0" applyFont="1" applyFill="1" applyBorder="1" applyAlignment="1"/>
    <xf numFmtId="167" fontId="57" fillId="0" borderId="0" xfId="0" applyNumberFormat="1" applyFont="1" applyFill="1" applyBorder="1"/>
    <xf numFmtId="1" fontId="37" fillId="0" borderId="0" xfId="0" applyNumberFormat="1" applyFont="1" applyFill="1" applyBorder="1"/>
    <xf numFmtId="9" fontId="30" fillId="0" borderId="0" xfId="0" applyNumberFormat="1" applyFont="1" applyFill="1"/>
    <xf numFmtId="0" fontId="37" fillId="0" borderId="2" xfId="0" applyFont="1" applyFill="1" applyBorder="1"/>
    <xf numFmtId="167" fontId="37" fillId="0" borderId="2" xfId="0" applyNumberFormat="1" applyFont="1" applyFill="1" applyBorder="1"/>
    <xf numFmtId="1" fontId="37" fillId="0" borderId="2" xfId="0" applyNumberFormat="1" applyFont="1" applyFill="1" applyBorder="1"/>
    <xf numFmtId="3" fontId="37" fillId="0" borderId="2" xfId="0" applyNumberFormat="1" applyFont="1" applyFill="1" applyBorder="1"/>
    <xf numFmtId="2" fontId="37" fillId="0" borderId="2" xfId="0" applyNumberFormat="1" applyFont="1" applyFill="1" applyBorder="1"/>
    <xf numFmtId="167" fontId="20" fillId="0" borderId="0" xfId="0" applyNumberFormat="1" applyFont="1" applyFill="1"/>
    <xf numFmtId="0" fontId="46" fillId="0" borderId="0" xfId="0" applyFont="1" applyFill="1" applyAlignment="1">
      <alignment horizontal="right"/>
    </xf>
    <xf numFmtId="0" fontId="69" fillId="0" borderId="0" xfId="0" applyFont="1" applyFill="1" applyAlignment="1">
      <alignment horizontal="right" vertical="center"/>
    </xf>
    <xf numFmtId="0" fontId="58" fillId="0" borderId="0" xfId="0" applyFont="1" applyFill="1" applyAlignment="1">
      <alignment horizontal="right" vertical="center"/>
    </xf>
    <xf numFmtId="1" fontId="8" fillId="0" borderId="3" xfId="0" applyNumberFormat="1" applyFont="1" applyFill="1" applyBorder="1"/>
    <xf numFmtId="43" fontId="30" fillId="0" borderId="0" xfId="4" applyFont="1" applyFill="1"/>
    <xf numFmtId="0" fontId="64" fillId="0" borderId="0" xfId="0" applyFont="1" applyFill="1" applyBorder="1"/>
    <xf numFmtId="3" fontId="10" fillId="0" borderId="0" xfId="0" applyNumberFormat="1" applyFont="1" applyFill="1" applyBorder="1" applyAlignment="1">
      <alignment horizontal="center"/>
    </xf>
    <xf numFmtId="167" fontId="10" fillId="0" borderId="0" xfId="0" applyNumberFormat="1" applyFont="1" applyFill="1" applyBorder="1" applyAlignment="1">
      <alignment horizontal="center"/>
    </xf>
    <xf numFmtId="0" fontId="9" fillId="0" borderId="0" xfId="0" applyFont="1" applyFill="1"/>
    <xf numFmtId="0" fontId="10" fillId="0" borderId="2" xfId="0" applyNumberFormat="1" applyFont="1" applyFill="1" applyBorder="1" applyAlignment="1">
      <alignment horizontal="right" wrapText="1"/>
    </xf>
    <xf numFmtId="168" fontId="10" fillId="0" borderId="0" xfId="0" applyNumberFormat="1" applyFont="1" applyFill="1"/>
    <xf numFmtId="169" fontId="10" fillId="0" borderId="0" xfId="0" applyNumberFormat="1" applyFont="1" applyFill="1"/>
    <xf numFmtId="169" fontId="20" fillId="0" borderId="0" xfId="0" applyNumberFormat="1" applyFont="1" applyFill="1" applyBorder="1"/>
    <xf numFmtId="2" fontId="34" fillId="0" borderId="3" xfId="0" applyNumberFormat="1" applyFont="1" applyFill="1" applyBorder="1"/>
    <xf numFmtId="167" fontId="10" fillId="0" borderId="3" xfId="0" applyNumberFormat="1" applyFont="1" applyFill="1" applyBorder="1"/>
    <xf numFmtId="168" fontId="8" fillId="0" borderId="0" xfId="0" applyNumberFormat="1" applyFont="1" applyFill="1" applyBorder="1"/>
    <xf numFmtId="169" fontId="8" fillId="0" borderId="0" xfId="0" applyNumberFormat="1" applyFont="1" applyFill="1" applyBorder="1"/>
    <xf numFmtId="168" fontId="8" fillId="0" borderId="2" xfId="0" applyNumberFormat="1" applyFont="1" applyFill="1" applyBorder="1"/>
    <xf numFmtId="169" fontId="8" fillId="0" borderId="2" xfId="0" applyNumberFormat="1" applyFont="1" applyFill="1" applyBorder="1"/>
    <xf numFmtId="0" fontId="43" fillId="0" borderId="13" xfId="0" applyFont="1" applyFill="1" applyBorder="1" applyAlignment="1"/>
    <xf numFmtId="10" fontId="61" fillId="0" borderId="21" xfId="3" applyNumberFormat="1" applyFont="1" applyFill="1" applyBorder="1" applyAlignment="1">
      <alignment horizontal="right"/>
    </xf>
    <xf numFmtId="1" fontId="8" fillId="0" borderId="8" xfId="3" applyNumberFormat="1" applyFont="1" applyFill="1" applyBorder="1"/>
    <xf numFmtId="1" fontId="60" fillId="0" borderId="0" xfId="0" applyNumberFormat="1" applyFont="1" applyFill="1"/>
    <xf numFmtId="2" fontId="19" fillId="2" borderId="0" xfId="0" applyNumberFormat="1" applyFont="1" applyFill="1" applyBorder="1"/>
    <xf numFmtId="170" fontId="19" fillId="2" borderId="0" xfId="3" applyNumberFormat="1" applyFont="1" applyFill="1" applyBorder="1"/>
    <xf numFmtId="2" fontId="20" fillId="2" borderId="0" xfId="0" applyNumberFormat="1" applyFont="1" applyFill="1" applyBorder="1"/>
    <xf numFmtId="167" fontId="12" fillId="2" borderId="3" xfId="0" applyNumberFormat="1" applyFont="1" applyFill="1" applyBorder="1"/>
    <xf numFmtId="167" fontId="19" fillId="2" borderId="3" xfId="0" applyNumberFormat="1" applyFont="1" applyFill="1" applyBorder="1"/>
    <xf numFmtId="167" fontId="20" fillId="2" borderId="0" xfId="0" applyNumberFormat="1" applyFont="1" applyFill="1" applyBorder="1"/>
    <xf numFmtId="171" fontId="24" fillId="2" borderId="0" xfId="0" applyNumberFormat="1" applyFont="1" applyFill="1" applyBorder="1"/>
    <xf numFmtId="0" fontId="3" fillId="0" borderId="3" xfId="0" applyFont="1" applyFill="1" applyBorder="1" applyAlignment="1"/>
    <xf numFmtId="0" fontId="8" fillId="0" borderId="3" xfId="0" applyFont="1" applyFill="1" applyBorder="1" applyAlignment="1"/>
    <xf numFmtId="3" fontId="19" fillId="2" borderId="0" xfId="0" applyNumberFormat="1" applyFont="1" applyFill="1" applyBorder="1"/>
    <xf numFmtId="3" fontId="19" fillId="2" borderId="2" xfId="0" applyNumberFormat="1" applyFont="1" applyFill="1" applyBorder="1"/>
    <xf numFmtId="0" fontId="10" fillId="0" borderId="0" xfId="0" applyFont="1" applyFill="1" applyBorder="1" applyAlignment="1"/>
    <xf numFmtId="0" fontId="3" fillId="0" borderId="0" xfId="0" applyFont="1" applyFill="1" applyAlignment="1"/>
    <xf numFmtId="0" fontId="9" fillId="0" borderId="3" xfId="0" applyFont="1" applyFill="1" applyBorder="1" applyAlignment="1"/>
    <xf numFmtId="0" fontId="3" fillId="0" borderId="3" xfId="0" applyFont="1" applyFill="1" applyBorder="1" applyAlignment="1"/>
    <xf numFmtId="0" fontId="10" fillId="0" borderId="13" xfId="0" applyFont="1" applyFill="1" applyBorder="1" applyAlignment="1"/>
    <xf numFmtId="0" fontId="0" fillId="0" borderId="13" xfId="0" applyFill="1" applyBorder="1" applyAlignment="1"/>
    <xf numFmtId="0" fontId="10" fillId="0" borderId="2" xfId="0" applyFont="1" applyFill="1" applyBorder="1" applyAlignment="1"/>
    <xf numFmtId="0" fontId="8" fillId="0" borderId="2" xfId="0" applyFont="1" applyFill="1" applyBorder="1" applyAlignment="1"/>
    <xf numFmtId="0" fontId="8" fillId="0" borderId="0" xfId="0" applyFont="1" applyFill="1" applyBorder="1" applyAlignment="1"/>
    <xf numFmtId="0" fontId="9" fillId="0" borderId="0" xfId="0" applyFont="1" applyFill="1" applyBorder="1" applyAlignment="1"/>
    <xf numFmtId="0" fontId="0" fillId="0" borderId="0" xfId="0" applyFont="1" applyFill="1" applyAlignment="1"/>
    <xf numFmtId="0" fontId="0" fillId="0" borderId="13" xfId="0" applyFont="1" applyFill="1" applyBorder="1" applyAlignment="1"/>
    <xf numFmtId="0" fontId="7" fillId="0" borderId="0" xfId="0" applyFont="1" applyFill="1" applyBorder="1" applyAlignment="1">
      <alignment horizontal="left"/>
    </xf>
    <xf numFmtId="14" fontId="52" fillId="0" borderId="0" xfId="0" applyNumberFormat="1" applyFont="1" applyFill="1" applyBorder="1" applyAlignment="1">
      <alignment horizontal="center"/>
    </xf>
    <xf numFmtId="0" fontId="51" fillId="0" borderId="0" xfId="0" applyFont="1" applyFill="1" applyBorder="1" applyAlignment="1">
      <alignment horizontal="center"/>
    </xf>
    <xf numFmtId="0" fontId="0" fillId="0" borderId="2" xfId="0" applyFill="1" applyBorder="1" applyAlignment="1"/>
    <xf numFmtId="0" fontId="8" fillId="0" borderId="3" xfId="0" applyFont="1" applyFill="1" applyBorder="1" applyAlignment="1"/>
    <xf numFmtId="3" fontId="10" fillId="0" borderId="13" xfId="0" applyNumberFormat="1" applyFont="1" applyFill="1" applyBorder="1" applyAlignment="1">
      <alignment horizontal="right"/>
    </xf>
    <xf numFmtId="0" fontId="0" fillId="0" borderId="13" xfId="0" applyFill="1" applyBorder="1" applyAlignment="1">
      <alignment horizontal="right"/>
    </xf>
    <xf numFmtId="0" fontId="22" fillId="0" borderId="3" xfId="0" applyFont="1" applyFill="1" applyBorder="1" applyAlignment="1"/>
    <xf numFmtId="0" fontId="0" fillId="0" borderId="3" xfId="0" applyFill="1" applyBorder="1" applyAlignment="1"/>
    <xf numFmtId="0" fontId="9" fillId="0" borderId="13" xfId="0" applyFont="1" applyFill="1" applyBorder="1" applyAlignment="1"/>
    <xf numFmtId="0" fontId="8" fillId="0" borderId="6" xfId="0" applyFont="1" applyFill="1" applyBorder="1" applyAlignment="1"/>
    <xf numFmtId="0" fontId="0" fillId="0" borderId="0" xfId="0" applyFill="1" applyAlignment="1"/>
    <xf numFmtId="0" fontId="8" fillId="0" borderId="13" xfId="0" applyFont="1" applyFill="1" applyBorder="1" applyAlignment="1"/>
    <xf numFmtId="0" fontId="0" fillId="0" borderId="0" xfId="0" applyFill="1" applyBorder="1" applyAlignment="1"/>
    <xf numFmtId="0" fontId="10" fillId="0" borderId="0" xfId="0" applyFont="1" applyFill="1" applyAlignment="1"/>
    <xf numFmtId="0" fontId="8" fillId="0" borderId="5" xfId="0" applyFont="1" applyFill="1" applyBorder="1" applyAlignment="1"/>
    <xf numFmtId="0" fontId="50" fillId="0" borderId="13" xfId="0" applyFont="1" applyFill="1" applyBorder="1" applyAlignment="1">
      <alignment wrapText="1"/>
    </xf>
    <xf numFmtId="0" fontId="0" fillId="0" borderId="13" xfId="0" applyFill="1" applyBorder="1" applyAlignment="1">
      <alignment wrapText="1"/>
    </xf>
    <xf numFmtId="0" fontId="7" fillId="0" borderId="0" xfId="0" applyFont="1" applyFill="1" applyBorder="1" applyAlignment="1"/>
    <xf numFmtId="0" fontId="23" fillId="0" borderId="0" xfId="0" applyFont="1" applyFill="1" applyBorder="1" applyAlignment="1"/>
    <xf numFmtId="0" fontId="11" fillId="0" borderId="2" xfId="0" applyFont="1" applyFill="1" applyBorder="1" applyAlignment="1"/>
    <xf numFmtId="0" fontId="14" fillId="0" borderId="0" xfId="0" applyFont="1" applyFill="1" applyBorder="1" applyAlignment="1">
      <alignment horizontal="left"/>
    </xf>
    <xf numFmtId="0" fontId="0" fillId="0" borderId="5" xfId="0" applyFill="1" applyBorder="1" applyAlignment="1"/>
    <xf numFmtId="0" fontId="28" fillId="0" borderId="0" xfId="0" applyFont="1" applyFill="1" applyBorder="1" applyAlignment="1"/>
    <xf numFmtId="0" fontId="14" fillId="0" borderId="2" xfId="0" applyFont="1" applyFill="1" applyBorder="1" applyAlignment="1"/>
    <xf numFmtId="0" fontId="14" fillId="0" borderId="0" xfId="0" applyFont="1" applyFill="1" applyBorder="1" applyAlignment="1"/>
    <xf numFmtId="0" fontId="2" fillId="0" borderId="3" xfId="0" applyFont="1" applyFill="1" applyBorder="1" applyAlignment="1"/>
    <xf numFmtId="0" fontId="14" fillId="0" borderId="13" xfId="0" applyFont="1" applyFill="1" applyBorder="1" applyAlignment="1"/>
    <xf numFmtId="0" fontId="10" fillId="0" borderId="3" xfId="0" applyFont="1" applyFill="1" applyBorder="1" applyAlignment="1"/>
    <xf numFmtId="0" fontId="9" fillId="0" borderId="2" xfId="0" applyFont="1" applyFill="1" applyBorder="1" applyAlignment="1"/>
    <xf numFmtId="0" fontId="44" fillId="0" borderId="0" xfId="0" applyFont="1" applyFill="1" applyAlignment="1"/>
    <xf numFmtId="0" fontId="42"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9" fillId="0" borderId="0" xfId="2" applyFont="1" applyFill="1" applyBorder="1" applyAlignment="1"/>
    <xf numFmtId="0" fontId="10" fillId="0" borderId="3" xfId="2" applyFont="1" applyFill="1" applyBorder="1" applyAlignment="1"/>
    <xf numFmtId="0" fontId="9" fillId="0" borderId="13" xfId="2" applyFont="1" applyFill="1" applyBorder="1" applyAlignment="1"/>
    <xf numFmtId="0" fontId="2" fillId="0" borderId="0" xfId="0" applyFont="1" applyFill="1" applyAlignment="1"/>
    <xf numFmtId="0" fontId="9" fillId="0" borderId="2" xfId="2" applyFont="1" applyFill="1" applyBorder="1" applyAlignment="1"/>
    <xf numFmtId="0" fontId="10" fillId="0" borderId="2" xfId="2" applyFont="1" applyFill="1" applyBorder="1" applyAlignment="1">
      <alignment horizontal="left"/>
    </xf>
    <xf numFmtId="0" fontId="0" fillId="0" borderId="2" xfId="0" applyFill="1" applyBorder="1" applyAlignment="1">
      <alignment horizontal="left"/>
    </xf>
    <xf numFmtId="0" fontId="3" fillId="0" borderId="0" xfId="0" applyFont="1" applyFill="1" applyBorder="1" applyAlignment="1"/>
    <xf numFmtId="0" fontId="28" fillId="0" borderId="3" xfId="0" applyFont="1" applyFill="1" applyBorder="1" applyAlignment="1"/>
    <xf numFmtId="0" fontId="40" fillId="0" borderId="0" xfId="2" applyFont="1" applyFill="1" applyBorder="1" applyAlignment="1"/>
    <xf numFmtId="0" fontId="9" fillId="0" borderId="3" xfId="2" applyFont="1" applyFill="1" applyBorder="1" applyAlignment="1"/>
    <xf numFmtId="0" fontId="50" fillId="0" borderId="13" xfId="0" applyFont="1" applyFill="1" applyBorder="1" applyAlignment="1"/>
    <xf numFmtId="0" fontId="17" fillId="0" borderId="0" xfId="0" applyFont="1" applyFill="1" applyBorder="1" applyAlignment="1">
      <alignment horizontal="left"/>
    </xf>
    <xf numFmtId="0" fontId="10" fillId="0" borderId="2" xfId="2" applyFont="1" applyFill="1" applyBorder="1" applyAlignment="1"/>
    <xf numFmtId="0" fontId="17" fillId="0" borderId="13" xfId="0" applyFont="1" applyFill="1" applyBorder="1" applyAlignment="1">
      <alignment horizontal="left"/>
    </xf>
    <xf numFmtId="0" fontId="3" fillId="0" borderId="13" xfId="0" applyFont="1" applyFill="1" applyBorder="1" applyAlignment="1"/>
    <xf numFmtId="0" fontId="17" fillId="0" borderId="0" xfId="0" applyFont="1" applyFill="1" applyBorder="1" applyAlignment="1">
      <alignment horizontal="right"/>
    </xf>
    <xf numFmtId="0" fontId="3" fillId="0" borderId="0" xfId="0" applyFont="1" applyFill="1" applyAlignment="1">
      <alignment horizontal="right"/>
    </xf>
    <xf numFmtId="0" fontId="2" fillId="0" borderId="0" xfId="0" applyFont="1" applyFill="1" applyBorder="1" applyAlignment="1"/>
    <xf numFmtId="0" fontId="17" fillId="0" borderId="2" xfId="0" applyFont="1" applyFill="1" applyBorder="1" applyAlignment="1">
      <alignment horizontal="right"/>
    </xf>
    <xf numFmtId="0" fontId="3" fillId="0" borderId="2" xfId="0" applyFont="1" applyFill="1" applyBorder="1" applyAlignment="1">
      <alignment horizontal="right"/>
    </xf>
    <xf numFmtId="0" fontId="39" fillId="0" borderId="0" xfId="0" applyFont="1" applyFill="1" applyBorder="1" applyAlignment="1"/>
    <xf numFmtId="0" fontId="10" fillId="0" borderId="0" xfId="0" applyFont="1" applyFill="1" applyBorder="1" applyAlignment="1">
      <alignment horizontal="right"/>
    </xf>
    <xf numFmtId="0" fontId="0" fillId="0" borderId="0" xfId="0" applyFill="1" applyBorder="1" applyAlignment="1">
      <alignment horizontal="right"/>
    </xf>
    <xf numFmtId="0" fontId="28" fillId="0" borderId="0" xfId="2" applyFont="1" applyFill="1" applyBorder="1" applyAlignment="1"/>
    <xf numFmtId="0" fontId="50" fillId="0" borderId="0" xfId="0" applyFont="1" applyFill="1" applyBorder="1" applyAlignment="1"/>
    <xf numFmtId="0" fontId="3" fillId="0" borderId="2" xfId="0" applyFont="1" applyFill="1" applyBorder="1" applyAlignment="1"/>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3" fillId="0" borderId="0" xfId="0" applyFont="1" applyFill="1" applyBorder="1" applyAlignment="1">
      <alignment wrapText="1"/>
    </xf>
    <xf numFmtId="0" fontId="10" fillId="0" borderId="0" xfId="0" applyFont="1" applyFill="1" applyBorder="1" applyAlignment="1">
      <alignment horizontal="left"/>
    </xf>
    <xf numFmtId="0" fontId="0" fillId="0" borderId="0" xfId="0" applyFill="1" applyAlignment="1">
      <alignment horizontal="left"/>
    </xf>
    <xf numFmtId="0" fontId="9" fillId="0" borderId="3" xfId="0" applyFont="1" applyFill="1" applyBorder="1" applyAlignment="1">
      <alignment vertical="top" wrapText="1"/>
    </xf>
    <xf numFmtId="0" fontId="10" fillId="0" borderId="2" xfId="0" applyFont="1" applyFill="1" applyBorder="1" applyAlignment="1">
      <alignment horizontal="right"/>
    </xf>
    <xf numFmtId="0" fontId="8" fillId="0" borderId="3" xfId="0" applyFont="1" applyFill="1" applyBorder="1" applyAlignment="1">
      <alignment horizontal="right"/>
    </xf>
    <xf numFmtId="0" fontId="0" fillId="0" borderId="3" xfId="0" applyFill="1" applyBorder="1" applyAlignment="1">
      <alignment horizontal="right"/>
    </xf>
    <xf numFmtId="0" fontId="8" fillId="0" borderId="2" xfId="0" applyFont="1" applyFill="1" applyBorder="1" applyAlignment="1">
      <alignment horizontal="right"/>
    </xf>
    <xf numFmtId="0" fontId="0" fillId="0" borderId="2" xfId="0" applyFill="1" applyBorder="1" applyAlignment="1">
      <alignment horizontal="right"/>
    </xf>
    <xf numFmtId="0" fontId="8" fillId="0" borderId="3" xfId="0" applyFont="1" applyFill="1" applyBorder="1" applyAlignment="1">
      <alignment wrapText="1"/>
    </xf>
    <xf numFmtId="0" fontId="3" fillId="0" borderId="3" xfId="0" applyFont="1" applyFill="1" applyBorder="1" applyAlignment="1">
      <alignment wrapText="1"/>
    </xf>
    <xf numFmtId="0" fontId="8" fillId="0" borderId="3" xfId="2" applyFont="1" applyFill="1" applyBorder="1" applyAlignment="1"/>
  </cellXfs>
  <cellStyles count="6">
    <cellStyle name="fordel" xfId="1"/>
    <cellStyle name="Hyperkobling" xfId="5" builtinId="8"/>
    <cellStyle name="Normal" xfId="0" builtinId="0"/>
    <cellStyle name="Normal_AVTALE" xfId="2"/>
    <cellStyle name="Prosent" xfId="3" builtinId="5"/>
    <cellStyle name="Tusenskille" xfId="4"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11"/>
  <sheetViews>
    <sheetView tabSelected="1" topLeftCell="A2" zoomScaleNormal="100" workbookViewId="0">
      <pane ySplit="1" topLeftCell="A3" activePane="bottomLeft" state="frozenSplit"/>
      <selection activeCell="G43" sqref="G43"/>
      <selection pane="bottomLeft" activeCell="G67" sqref="G67"/>
    </sheetView>
  </sheetViews>
  <sheetFormatPr baseColWidth="10" defaultColWidth="9.140625" defaultRowHeight="12.75"/>
  <cols>
    <col min="1" max="1" width="5.7109375" style="8" customWidth="1"/>
    <col min="2" max="2" width="9.7109375" style="8" customWidth="1"/>
    <col min="3" max="3" width="10.42578125" style="8" customWidth="1"/>
    <col min="4" max="4" width="11.42578125" style="8" customWidth="1"/>
    <col min="5" max="5" width="11.140625" style="8" customWidth="1"/>
    <col min="6" max="6" width="8.28515625" style="199" customWidth="1"/>
    <col min="7" max="7" width="9.7109375" style="199" customWidth="1"/>
    <col min="8" max="8" width="11.28515625" style="8" customWidth="1"/>
    <col min="9" max="9" width="11.140625" style="8" customWidth="1"/>
    <col min="10" max="10" width="17.42578125" style="8" customWidth="1"/>
    <col min="11" max="11" width="8.28515625" style="8" customWidth="1"/>
    <col min="12" max="13" width="7.5703125" style="9" customWidth="1"/>
    <col min="14" max="14" width="7.5703125" style="8" customWidth="1"/>
    <col min="15" max="15" width="28.140625" style="8" customWidth="1"/>
    <col min="16" max="16" width="10.7109375" style="8" customWidth="1"/>
    <col min="17" max="16384" width="9.140625" style="8"/>
  </cols>
  <sheetData>
    <row r="1" spans="1:13" ht="19.5" thickBot="1">
      <c r="A1" s="293"/>
      <c r="B1" s="294"/>
      <c r="C1" s="294"/>
      <c r="D1" s="294"/>
      <c r="E1" s="295"/>
      <c r="F1" s="296" t="s">
        <v>0</v>
      </c>
      <c r="G1" s="8"/>
      <c r="H1" s="296" t="s">
        <v>0</v>
      </c>
    </row>
    <row r="2" spans="1:13">
      <c r="A2" s="297" t="s">
        <v>1</v>
      </c>
      <c r="B2" s="298">
        <v>2014</v>
      </c>
      <c r="C2" s="299" t="s">
        <v>2</v>
      </c>
      <c r="D2" s="300">
        <f ca="1">NOW()</f>
        <v>41794.446624189812</v>
      </c>
      <c r="E2" s="301" t="s">
        <v>3</v>
      </c>
      <c r="F2" s="302">
        <f>+G16</f>
        <v>397.21300000000002</v>
      </c>
      <c r="G2" s="301" t="s">
        <v>4</v>
      </c>
      <c r="H2" s="303">
        <f>+G10</f>
        <v>-2.7869999999999617</v>
      </c>
      <c r="I2" s="304">
        <v>0</v>
      </c>
      <c r="J2" s="304">
        <f>+G14</f>
        <v>397.21300000000002</v>
      </c>
    </row>
    <row r="3" spans="1:13" ht="15.75">
      <c r="A3" s="230"/>
      <c r="B3" s="305"/>
      <c r="C3" s="305"/>
      <c r="D3" s="120" t="s">
        <v>402</v>
      </c>
      <c r="E3" s="5"/>
      <c r="F3" s="227" t="s">
        <v>359</v>
      </c>
      <c r="G3" s="204">
        <f ca="1">TODAY()</f>
        <v>41794</v>
      </c>
      <c r="H3" s="306" t="s">
        <v>360</v>
      </c>
      <c r="I3" s="307"/>
    </row>
    <row r="4" spans="1:13" ht="9.75" customHeight="1">
      <c r="A4" s="48"/>
      <c r="B4" s="2"/>
      <c r="C4" s="3"/>
      <c r="D4" s="4"/>
      <c r="E4" s="5"/>
      <c r="F4" s="6"/>
      <c r="G4" s="5"/>
      <c r="H4" s="49"/>
      <c r="I4" s="7"/>
      <c r="J4" s="7"/>
    </row>
    <row r="5" spans="1:13" ht="21" customHeight="1">
      <c r="A5" s="394" t="s">
        <v>282</v>
      </c>
      <c r="B5" s="394"/>
      <c r="C5" s="394"/>
      <c r="D5" s="394"/>
      <c r="E5" s="394"/>
      <c r="F5" s="394"/>
      <c r="G5" s="394"/>
      <c r="H5" s="394"/>
      <c r="L5" s="8"/>
      <c r="M5" s="8"/>
    </row>
    <row r="6" spans="1:13" ht="18" customHeight="1">
      <c r="A6" s="395"/>
      <c r="B6" s="396"/>
      <c r="C6" s="396"/>
      <c r="D6" s="396"/>
      <c r="E6" s="396"/>
      <c r="F6" s="396"/>
      <c r="G6" s="396"/>
      <c r="H6" s="396"/>
      <c r="L6" s="8"/>
      <c r="M6" s="8"/>
    </row>
    <row r="7" spans="1:13" ht="14.25">
      <c r="A7" s="308"/>
      <c r="B7" s="32"/>
      <c r="C7" s="32"/>
      <c r="D7" s="32"/>
      <c r="E7" s="32"/>
      <c r="F7" s="32"/>
      <c r="G7" s="292" t="s">
        <v>0</v>
      </c>
      <c r="H7" s="17"/>
      <c r="L7" s="8"/>
      <c r="M7" s="8"/>
    </row>
    <row r="8" spans="1:13">
      <c r="A8" s="1"/>
      <c r="B8" s="406" t="s">
        <v>5</v>
      </c>
      <c r="C8" s="406"/>
      <c r="D8" s="406"/>
      <c r="E8" s="406"/>
      <c r="F8" s="406"/>
      <c r="G8" s="83">
        <f>+G42</f>
        <v>-2.7869999999999617</v>
      </c>
      <c r="L8" s="8"/>
      <c r="M8" s="8"/>
    </row>
    <row r="9" spans="1:13">
      <c r="A9" s="2" t="s">
        <v>6</v>
      </c>
      <c r="B9" s="389" t="s">
        <v>7</v>
      </c>
      <c r="C9" s="389"/>
      <c r="D9" s="389"/>
      <c r="E9" s="389"/>
      <c r="F9" s="389"/>
      <c r="G9" s="83">
        <f>+G43</f>
        <v>0</v>
      </c>
      <c r="L9" s="8"/>
      <c r="M9" s="8"/>
    </row>
    <row r="10" spans="1:13">
      <c r="A10" s="309" t="s">
        <v>8</v>
      </c>
      <c r="B10" s="398" t="s">
        <v>9</v>
      </c>
      <c r="C10" s="398"/>
      <c r="D10" s="398"/>
      <c r="E10" s="398"/>
      <c r="F10" s="398"/>
      <c r="G10" s="103">
        <f>+G8-G9</f>
        <v>-2.7869999999999617</v>
      </c>
      <c r="L10" s="8"/>
      <c r="M10" s="8"/>
    </row>
    <row r="11" spans="1:13">
      <c r="A11" s="2" t="s">
        <v>218</v>
      </c>
      <c r="B11" s="398" t="s">
        <v>363</v>
      </c>
      <c r="C11" s="398"/>
      <c r="D11" s="398"/>
      <c r="E11" s="398"/>
      <c r="F11" s="398"/>
      <c r="G11" s="83">
        <f>+G30</f>
        <v>340</v>
      </c>
      <c r="I11" s="310"/>
      <c r="L11" s="8"/>
      <c r="M11" s="8"/>
    </row>
    <row r="12" spans="1:13">
      <c r="A12" s="309" t="s">
        <v>8</v>
      </c>
      <c r="B12" s="398" t="s">
        <v>387</v>
      </c>
      <c r="C12" s="398"/>
      <c r="D12" s="398"/>
      <c r="E12" s="398"/>
      <c r="F12" s="398"/>
      <c r="G12" s="103">
        <f>+G10+G11</f>
        <v>337.21300000000002</v>
      </c>
      <c r="I12" s="310"/>
      <c r="L12" s="8"/>
      <c r="M12" s="8"/>
    </row>
    <row r="13" spans="1:13">
      <c r="A13" s="2" t="s">
        <v>218</v>
      </c>
      <c r="B13" s="398" t="s">
        <v>388</v>
      </c>
      <c r="C13" s="398"/>
      <c r="D13" s="398"/>
      <c r="E13" s="398"/>
      <c r="F13" s="398"/>
      <c r="G13" s="311">
        <v>60</v>
      </c>
      <c r="I13" s="310"/>
      <c r="L13" s="8"/>
      <c r="M13" s="8"/>
    </row>
    <row r="14" spans="1:13" ht="13.5" thickBot="1">
      <c r="A14" s="312" t="s">
        <v>219</v>
      </c>
      <c r="B14" s="409" t="s">
        <v>292</v>
      </c>
      <c r="C14" s="409"/>
      <c r="D14" s="409"/>
      <c r="E14" s="409"/>
      <c r="F14" s="409"/>
      <c r="G14" s="229">
        <f>SUM(G12:G13)</f>
        <v>397.21300000000002</v>
      </c>
      <c r="I14" s="310"/>
      <c r="L14" s="8"/>
      <c r="M14" s="8"/>
    </row>
    <row r="15" spans="1:13">
      <c r="A15" s="2" t="s">
        <v>218</v>
      </c>
      <c r="B15" s="404" t="s">
        <v>386</v>
      </c>
      <c r="C15" s="404"/>
      <c r="D15" s="404"/>
      <c r="E15" s="404"/>
      <c r="F15" s="404"/>
      <c r="G15" s="311">
        <v>0</v>
      </c>
      <c r="L15" s="8"/>
      <c r="M15" s="8"/>
    </row>
    <row r="16" spans="1:13" ht="13.5" thickBot="1">
      <c r="A16" s="312" t="s">
        <v>219</v>
      </c>
      <c r="B16" s="409" t="s">
        <v>302</v>
      </c>
      <c r="C16" s="409"/>
      <c r="D16" s="409"/>
      <c r="E16" s="409"/>
      <c r="F16" s="409"/>
      <c r="G16" s="229">
        <f>+G14+G15</f>
        <v>397.21300000000002</v>
      </c>
      <c r="L16" s="8"/>
      <c r="M16" s="8"/>
    </row>
    <row r="17" spans="1:13" hidden="1">
      <c r="A17" s="313"/>
      <c r="B17" s="404" t="s">
        <v>364</v>
      </c>
      <c r="C17" s="404"/>
      <c r="D17" s="404"/>
      <c r="E17" s="404"/>
      <c r="F17" s="404"/>
      <c r="G17" s="311"/>
      <c r="H17" s="274"/>
      <c r="L17" s="8"/>
      <c r="M17" s="8"/>
    </row>
    <row r="18" spans="1:13" ht="17.25" customHeight="1">
      <c r="B18" s="2"/>
      <c r="C18" s="3"/>
      <c r="D18" s="314"/>
      <c r="E18" s="5"/>
      <c r="F18" s="6"/>
      <c r="G18" s="5"/>
      <c r="H18" s="315"/>
      <c r="L18" s="8"/>
      <c r="M18" s="8"/>
    </row>
    <row r="19" spans="1:13" ht="15.75">
      <c r="A19" s="185" t="s">
        <v>373</v>
      </c>
      <c r="B19" s="276"/>
      <c r="C19" s="276"/>
      <c r="D19" s="272"/>
      <c r="E19" s="399" t="s">
        <v>278</v>
      </c>
      <c r="F19" s="400"/>
      <c r="G19" s="242"/>
      <c r="L19" s="8"/>
      <c r="M19" s="8"/>
    </row>
    <row r="20" spans="1:13">
      <c r="A20" s="269"/>
      <c r="B20" s="269"/>
      <c r="C20" s="281"/>
      <c r="D20" s="85"/>
      <c r="E20" s="85" t="s">
        <v>82</v>
      </c>
      <c r="F20" s="85"/>
      <c r="G20" s="288" t="s">
        <v>81</v>
      </c>
      <c r="L20" s="8"/>
      <c r="M20" s="8"/>
    </row>
    <row r="21" spans="1:13">
      <c r="A21" s="382"/>
      <c r="B21" s="382"/>
      <c r="C21" s="288" t="s">
        <v>13</v>
      </c>
      <c r="D21" s="288" t="s">
        <v>176</v>
      </c>
      <c r="E21" s="316" t="s">
        <v>334</v>
      </c>
      <c r="F21" s="317"/>
      <c r="G21" s="288" t="s">
        <v>333</v>
      </c>
      <c r="L21" s="8"/>
      <c r="M21" s="8"/>
    </row>
    <row r="22" spans="1:13">
      <c r="A22" s="388" t="s">
        <v>14</v>
      </c>
      <c r="B22" s="397"/>
      <c r="C22" s="291" t="s">
        <v>330</v>
      </c>
      <c r="D22" s="291" t="s">
        <v>40</v>
      </c>
      <c r="E22" s="291" t="s">
        <v>279</v>
      </c>
      <c r="F22" s="291"/>
      <c r="G22" s="291" t="s">
        <v>15</v>
      </c>
      <c r="L22" s="8"/>
      <c r="M22" s="8"/>
    </row>
    <row r="23" spans="1:13">
      <c r="A23" s="382" t="s">
        <v>348</v>
      </c>
      <c r="B23" s="382"/>
      <c r="C23" s="266">
        <f>1511.2+19.578</f>
        <v>1530.778</v>
      </c>
      <c r="D23" s="93">
        <v>5.05</v>
      </c>
      <c r="E23" s="371">
        <v>0.1502</v>
      </c>
      <c r="F23" s="12"/>
      <c r="G23" s="30">
        <f t="shared" ref="G23:G29" si="0">ROUND(C23*E23,1)</f>
        <v>229.9</v>
      </c>
      <c r="H23" s="318"/>
      <c r="I23" s="44"/>
      <c r="J23" s="44"/>
      <c r="L23" s="8"/>
      <c r="M23" s="8"/>
    </row>
    <row r="24" spans="1:13">
      <c r="A24" s="382" t="s">
        <v>67</v>
      </c>
      <c r="B24" s="382"/>
      <c r="C24" s="266">
        <v>128.922</v>
      </c>
      <c r="D24" s="93">
        <v>31.64</v>
      </c>
      <c r="E24" s="371">
        <v>0</v>
      </c>
      <c r="F24" s="12"/>
      <c r="G24" s="30">
        <f t="shared" si="0"/>
        <v>0</v>
      </c>
      <c r="H24" s="319"/>
      <c r="L24" s="8"/>
      <c r="M24" s="8"/>
    </row>
    <row r="25" spans="1:13" hidden="1">
      <c r="A25" s="382" t="s">
        <v>178</v>
      </c>
      <c r="B25" s="382"/>
      <c r="C25" s="266">
        <v>23.501000000000001</v>
      </c>
      <c r="D25" s="93">
        <v>63</v>
      </c>
      <c r="E25" s="371"/>
      <c r="F25" s="12"/>
      <c r="G25" s="30">
        <f t="shared" ref="G25" si="1">ROUND(C25*E25,1)</f>
        <v>0</v>
      </c>
      <c r="H25" s="318"/>
      <c r="L25" s="8"/>
      <c r="M25" s="8"/>
    </row>
    <row r="26" spans="1:13" hidden="1">
      <c r="A26" s="382" t="s">
        <v>116</v>
      </c>
      <c r="B26" s="382"/>
      <c r="C26" s="266">
        <v>62.853999999999999</v>
      </c>
      <c r="D26" s="93">
        <v>19.100000000000001</v>
      </c>
      <c r="E26" s="371"/>
      <c r="F26" s="12"/>
      <c r="G26" s="30">
        <f t="shared" si="0"/>
        <v>0</v>
      </c>
      <c r="H26" s="319"/>
      <c r="L26" s="8"/>
      <c r="M26" s="8"/>
    </row>
    <row r="27" spans="1:13">
      <c r="A27" s="382" t="s">
        <v>166</v>
      </c>
      <c r="B27" s="382"/>
      <c r="C27" s="266">
        <f>239.373-33.495-10.3-8.381</f>
        <v>187.19699999999997</v>
      </c>
      <c r="D27" s="93">
        <v>4.04</v>
      </c>
      <c r="E27" s="371">
        <v>0.2</v>
      </c>
      <c r="F27" s="12"/>
      <c r="G27" s="30">
        <f t="shared" si="0"/>
        <v>37.4</v>
      </c>
      <c r="H27" s="209"/>
      <c r="L27" s="8"/>
      <c r="M27" s="8"/>
    </row>
    <row r="28" spans="1:13">
      <c r="A28" s="382" t="s">
        <v>336</v>
      </c>
      <c r="B28" s="382"/>
      <c r="C28" s="266">
        <f>1704.767+142.414</f>
        <v>1847.181</v>
      </c>
      <c r="D28" s="93"/>
      <c r="E28" s="372">
        <v>3.4000000000000002E-2</v>
      </c>
      <c r="F28" s="125"/>
      <c r="G28" s="30">
        <f t="shared" si="0"/>
        <v>62.8</v>
      </c>
      <c r="L28" s="8"/>
      <c r="M28" s="8"/>
    </row>
    <row r="29" spans="1:13">
      <c r="A29" s="382" t="s">
        <v>337</v>
      </c>
      <c r="B29" s="382"/>
      <c r="C29" s="30">
        <f>+K99</f>
        <v>198.92699999999999</v>
      </c>
      <c r="D29" s="93">
        <f>+E96</f>
        <v>2.93</v>
      </c>
      <c r="E29" s="373">
        <f>+F97</f>
        <v>0.05</v>
      </c>
      <c r="F29" s="37"/>
      <c r="G29" s="30">
        <f t="shared" si="0"/>
        <v>9.9</v>
      </c>
      <c r="L29" s="8"/>
      <c r="M29" s="8"/>
    </row>
    <row r="30" spans="1:13">
      <c r="A30" s="398" t="s">
        <v>374</v>
      </c>
      <c r="B30" s="402"/>
      <c r="C30" s="402"/>
      <c r="D30" s="402"/>
      <c r="E30" s="402"/>
      <c r="F30" s="402"/>
      <c r="G30" s="374">
        <f>SUM(G23:G29)</f>
        <v>340</v>
      </c>
      <c r="L30" s="8"/>
      <c r="M30" s="8"/>
    </row>
    <row r="31" spans="1:13" ht="26.25" customHeight="1">
      <c r="A31" s="410"/>
      <c r="B31" s="411"/>
      <c r="C31" s="411"/>
      <c r="D31" s="411"/>
      <c r="E31" s="411"/>
      <c r="F31" s="411"/>
      <c r="G31" s="411"/>
      <c r="H31" s="411"/>
    </row>
    <row r="32" spans="1:13" ht="33" customHeight="1">
      <c r="A32" s="412" t="s">
        <v>17</v>
      </c>
      <c r="B32" s="405"/>
      <c r="C32" s="405"/>
      <c r="D32" s="405"/>
      <c r="E32" s="405"/>
      <c r="F32" s="405"/>
      <c r="G32" s="126" t="s">
        <v>18</v>
      </c>
      <c r="H32" s="127" t="s">
        <v>401</v>
      </c>
    </row>
    <row r="33" spans="1:13" ht="15.75" customHeight="1">
      <c r="A33" s="320" t="s">
        <v>19</v>
      </c>
      <c r="B33" s="388"/>
      <c r="C33" s="397"/>
      <c r="D33" s="397"/>
      <c r="E33" s="397"/>
      <c r="F33" s="397"/>
      <c r="G33" s="128" t="s">
        <v>20</v>
      </c>
      <c r="H33" s="128" t="s">
        <v>20</v>
      </c>
    </row>
    <row r="34" spans="1:13" ht="15.75" customHeight="1">
      <c r="A34" s="321" t="s">
        <v>344</v>
      </c>
      <c r="B34" s="403" t="str">
        <f>+B49</f>
        <v>Driftskostnader, utredninger og evalueringer</v>
      </c>
      <c r="C34" s="387"/>
      <c r="D34" s="387"/>
      <c r="E34" s="387"/>
      <c r="F34" s="387"/>
      <c r="G34" s="322">
        <f>+G49</f>
        <v>10</v>
      </c>
      <c r="H34" s="322">
        <f>+H49</f>
        <v>2.5</v>
      </c>
    </row>
    <row r="35" spans="1:13" ht="15" customHeight="1">
      <c r="A35" s="323">
        <v>50</v>
      </c>
      <c r="B35" s="391" t="s">
        <v>21</v>
      </c>
      <c r="C35" s="407"/>
      <c r="D35" s="407"/>
      <c r="E35" s="407"/>
      <c r="F35" s="407"/>
      <c r="G35" s="322">
        <f>+G51</f>
        <v>15</v>
      </c>
      <c r="H35" s="322">
        <f>+H51</f>
        <v>1190.653</v>
      </c>
      <c r="I35" s="9"/>
      <c r="J35" s="9"/>
      <c r="K35" s="44"/>
    </row>
    <row r="36" spans="1:13" ht="15" customHeight="1">
      <c r="A36" s="323">
        <v>70</v>
      </c>
      <c r="B36" s="391" t="s">
        <v>22</v>
      </c>
      <c r="C36" s="405"/>
      <c r="D36" s="405"/>
      <c r="E36" s="405"/>
      <c r="F36" s="405"/>
      <c r="G36" s="322">
        <f>+G55</f>
        <v>-34.299999999999997</v>
      </c>
      <c r="H36" s="322">
        <f>+H55</f>
        <v>290.8</v>
      </c>
      <c r="I36" s="10"/>
      <c r="J36" s="10"/>
    </row>
    <row r="37" spans="1:13" ht="15" customHeight="1">
      <c r="A37" s="323">
        <v>71</v>
      </c>
      <c r="B37" s="391" t="s">
        <v>332</v>
      </c>
      <c r="C37" s="405"/>
      <c r="D37" s="405"/>
      <c r="E37" s="405"/>
      <c r="F37" s="405"/>
      <c r="G37" s="322">
        <f>+G56</f>
        <v>-2.9</v>
      </c>
      <c r="H37" s="322">
        <f>+H56</f>
        <v>72</v>
      </c>
      <c r="I37" s="10"/>
      <c r="J37" s="10"/>
    </row>
    <row r="38" spans="1:13" ht="15" customHeight="1">
      <c r="A38" s="323">
        <v>73</v>
      </c>
      <c r="B38" s="391" t="s">
        <v>23</v>
      </c>
      <c r="C38" s="405"/>
      <c r="D38" s="405"/>
      <c r="E38" s="405"/>
      <c r="F38" s="405"/>
      <c r="G38" s="322">
        <f>G65</f>
        <v>50.199999999999996</v>
      </c>
      <c r="H38" s="322">
        <f>+H65</f>
        <v>2539.5499999999997</v>
      </c>
      <c r="I38" s="17"/>
      <c r="J38" s="17"/>
    </row>
    <row r="39" spans="1:13" ht="15" customHeight="1">
      <c r="A39" s="323">
        <v>74</v>
      </c>
      <c r="B39" s="391" t="s">
        <v>24</v>
      </c>
      <c r="C39" s="405"/>
      <c r="D39" s="405"/>
      <c r="E39" s="405"/>
      <c r="F39" s="405"/>
      <c r="G39" s="322">
        <f>G72</f>
        <v>-22.87699999999996</v>
      </c>
      <c r="H39" s="322">
        <f>+H72</f>
        <v>8442.4000000000015</v>
      </c>
      <c r="I39" s="17"/>
      <c r="J39" s="17"/>
    </row>
    <row r="40" spans="1:13" ht="15" customHeight="1">
      <c r="A40" s="323">
        <v>77</v>
      </c>
      <c r="B40" s="391" t="s">
        <v>25</v>
      </c>
      <c r="C40" s="405"/>
      <c r="D40" s="405"/>
      <c r="E40" s="405"/>
      <c r="F40" s="405"/>
      <c r="G40" s="322">
        <f>G79</f>
        <v>-12.709999999999999</v>
      </c>
      <c r="H40" s="322">
        <f>+H79</f>
        <v>275.78999999999996</v>
      </c>
      <c r="I40" s="17"/>
      <c r="J40" s="17"/>
    </row>
    <row r="41" spans="1:13" ht="15" customHeight="1">
      <c r="A41" s="323">
        <v>78</v>
      </c>
      <c r="B41" s="391" t="s">
        <v>26</v>
      </c>
      <c r="C41" s="405"/>
      <c r="D41" s="405"/>
      <c r="E41" s="405"/>
      <c r="F41" s="405"/>
      <c r="G41" s="322">
        <f>G85</f>
        <v>-5.2000000000000028</v>
      </c>
      <c r="H41" s="322">
        <f>+H85</f>
        <v>1601.7539999999999</v>
      </c>
      <c r="I41" s="17"/>
      <c r="J41" s="17"/>
    </row>
    <row r="42" spans="1:13" ht="15" customHeight="1">
      <c r="A42" s="398" t="s">
        <v>27</v>
      </c>
      <c r="B42" s="402"/>
      <c r="C42" s="402"/>
      <c r="D42" s="402"/>
      <c r="E42" s="402"/>
      <c r="F42" s="402"/>
      <c r="G42" s="324">
        <f>SUM(G34:G41)</f>
        <v>-2.7869999999999617</v>
      </c>
      <c r="H42" s="324">
        <f>SUM(H34:H41)</f>
        <v>14415.447000000004</v>
      </c>
      <c r="I42" s="17"/>
      <c r="J42" s="17"/>
    </row>
    <row r="43" spans="1:13" ht="15" customHeight="1">
      <c r="A43" s="398" t="s">
        <v>28</v>
      </c>
      <c r="B43" s="402"/>
      <c r="C43" s="402"/>
      <c r="D43" s="402"/>
      <c r="E43" s="402"/>
      <c r="F43" s="402"/>
      <c r="G43" s="324">
        <f>G114</f>
        <v>0</v>
      </c>
      <c r="H43" s="324">
        <v>27.7</v>
      </c>
      <c r="I43" s="10"/>
      <c r="J43" s="17"/>
    </row>
    <row r="44" spans="1:13">
      <c r="A44" s="325"/>
      <c r="B44" s="5"/>
      <c r="C44" s="5"/>
      <c r="D44" s="5"/>
      <c r="E44" s="98"/>
      <c r="F44" s="98"/>
      <c r="G44" s="326"/>
      <c r="H44" s="327"/>
      <c r="I44" s="10"/>
      <c r="J44" s="328"/>
      <c r="K44" s="9"/>
      <c r="L44" s="8"/>
      <c r="M44" s="8"/>
    </row>
    <row r="45" spans="1:13">
      <c r="A45" s="323"/>
      <c r="B45" s="5"/>
      <c r="C45" s="5"/>
      <c r="D45" s="5"/>
      <c r="E45" s="98"/>
      <c r="F45" s="98"/>
      <c r="G45" s="326"/>
      <c r="H45" s="327"/>
      <c r="I45" s="10"/>
      <c r="J45" s="10"/>
      <c r="K45" s="9"/>
      <c r="L45" s="8"/>
      <c r="M45" s="8"/>
    </row>
    <row r="46" spans="1:13">
      <c r="A46" s="415" t="s">
        <v>200</v>
      </c>
      <c r="B46" s="405"/>
      <c r="C46" s="405"/>
      <c r="D46" s="405"/>
      <c r="E46" s="405"/>
      <c r="F46" s="405"/>
      <c r="G46" s="326"/>
      <c r="H46" s="327"/>
      <c r="I46" s="17"/>
      <c r="J46" s="10"/>
      <c r="K46" s="9"/>
      <c r="L46" s="8"/>
      <c r="M46" s="8"/>
    </row>
    <row r="47" spans="1:13">
      <c r="B47" s="408"/>
      <c r="C47" s="408"/>
      <c r="D47" s="408"/>
      <c r="E47" s="408"/>
      <c r="F47" s="408"/>
      <c r="G47" s="126" t="s">
        <v>18</v>
      </c>
      <c r="H47" s="127" t="s">
        <v>401</v>
      </c>
      <c r="I47" s="10"/>
      <c r="L47" s="8"/>
      <c r="M47" s="8"/>
    </row>
    <row r="48" spans="1:13" s="145" customFormat="1" ht="15" customHeight="1">
      <c r="A48" s="329" t="s">
        <v>19</v>
      </c>
      <c r="B48" s="414" t="s">
        <v>29</v>
      </c>
      <c r="C48" s="397"/>
      <c r="D48" s="397"/>
      <c r="E48" s="397"/>
      <c r="F48" s="397"/>
      <c r="G48" s="128" t="s">
        <v>20</v>
      </c>
      <c r="H48" s="128" t="s">
        <v>290</v>
      </c>
      <c r="J48" s="10"/>
      <c r="K48" s="330"/>
      <c r="L48" s="330"/>
    </row>
    <row r="49" spans="1:15" s="145" customFormat="1" ht="15" customHeight="1">
      <c r="A49" s="331" t="s">
        <v>344</v>
      </c>
      <c r="B49" s="401" t="s">
        <v>351</v>
      </c>
      <c r="C49" s="402"/>
      <c r="D49" s="402"/>
      <c r="E49" s="402"/>
      <c r="F49" s="402"/>
      <c r="G49" s="267">
        <v>10</v>
      </c>
      <c r="H49" s="132">
        <v>2.5</v>
      </c>
      <c r="I49" s="17"/>
      <c r="J49" s="10"/>
      <c r="K49" s="330"/>
      <c r="L49" s="330"/>
    </row>
    <row r="50" spans="1:15" s="145" customFormat="1" ht="16.5" customHeight="1">
      <c r="A50" s="332" t="s">
        <v>134</v>
      </c>
      <c r="B50" s="413" t="s">
        <v>289</v>
      </c>
      <c r="C50" s="407"/>
      <c r="D50" s="407"/>
      <c r="E50" s="407"/>
      <c r="F50" s="407"/>
      <c r="G50" s="377">
        <f>-50+65</f>
        <v>15</v>
      </c>
      <c r="H50" s="130">
        <v>1190.653</v>
      </c>
      <c r="I50" s="17"/>
      <c r="J50" s="10"/>
      <c r="K50" s="330"/>
      <c r="L50" s="330"/>
    </row>
    <row r="51" spans="1:15" s="145" customFormat="1" ht="15" customHeight="1">
      <c r="A51" s="333">
        <v>50</v>
      </c>
      <c r="B51" s="401" t="s">
        <v>21</v>
      </c>
      <c r="C51" s="402"/>
      <c r="D51" s="402"/>
      <c r="E51" s="402"/>
      <c r="F51" s="402"/>
      <c r="G51" s="131">
        <f>SUM(G50:G50)</f>
        <v>15</v>
      </c>
      <c r="H51" s="132">
        <f>SUM(H50:H50)</f>
        <v>1190.653</v>
      </c>
      <c r="I51" s="17"/>
      <c r="J51" s="288" t="s">
        <v>404</v>
      </c>
      <c r="K51" s="330"/>
      <c r="L51" s="330"/>
    </row>
    <row r="52" spans="1:15" s="145" customFormat="1" ht="15" customHeight="1">
      <c r="A52" s="332" t="s">
        <v>132</v>
      </c>
      <c r="B52" s="413" t="s">
        <v>171</v>
      </c>
      <c r="C52" s="405"/>
      <c r="D52" s="405"/>
      <c r="E52" s="405"/>
      <c r="F52" s="405"/>
      <c r="G52" s="129">
        <v>-8</v>
      </c>
      <c r="H52" s="130">
        <v>32.4</v>
      </c>
      <c r="I52" s="17"/>
      <c r="J52" s="10"/>
      <c r="K52" s="330"/>
      <c r="L52" s="330"/>
    </row>
    <row r="53" spans="1:15" s="145" customFormat="1" ht="15" customHeight="1">
      <c r="A53" s="332" t="s">
        <v>133</v>
      </c>
      <c r="B53" s="413" t="s">
        <v>284</v>
      </c>
      <c r="C53" s="405"/>
      <c r="D53" s="405"/>
      <c r="E53" s="405"/>
      <c r="F53" s="405"/>
      <c r="G53" s="129">
        <v>-26.3</v>
      </c>
      <c r="H53" s="130">
        <v>216</v>
      </c>
      <c r="I53" s="17"/>
      <c r="J53" s="10">
        <v>-51.029000000000003</v>
      </c>
      <c r="K53" s="330"/>
      <c r="L53" s="330"/>
    </row>
    <row r="54" spans="1:15" s="145" customFormat="1" ht="15" customHeight="1">
      <c r="A54" s="332" t="s">
        <v>389</v>
      </c>
      <c r="B54" s="413" t="s">
        <v>331</v>
      </c>
      <c r="C54" s="405"/>
      <c r="D54" s="405"/>
      <c r="E54" s="405"/>
      <c r="F54" s="405"/>
      <c r="G54" s="129">
        <v>0</v>
      </c>
      <c r="H54" s="130">
        <v>42.4</v>
      </c>
      <c r="I54" s="17"/>
      <c r="J54" s="10"/>
      <c r="K54" s="330"/>
      <c r="L54" s="330"/>
    </row>
    <row r="55" spans="1:15" s="145" customFormat="1" ht="15" customHeight="1">
      <c r="A55" s="333">
        <v>70</v>
      </c>
      <c r="B55" s="401" t="s">
        <v>121</v>
      </c>
      <c r="C55" s="402"/>
      <c r="D55" s="402"/>
      <c r="E55" s="402"/>
      <c r="F55" s="402"/>
      <c r="G55" s="131">
        <f>SUM(G52:G54)</f>
        <v>-34.299999999999997</v>
      </c>
      <c r="H55" s="132">
        <f>SUM(H52:H54)</f>
        <v>290.8</v>
      </c>
      <c r="I55" s="17"/>
      <c r="J55" s="10"/>
      <c r="K55" s="330"/>
      <c r="L55" s="330"/>
    </row>
    <row r="56" spans="1:15" s="145" customFormat="1" ht="14.45" customHeight="1">
      <c r="A56" s="333">
        <v>71</v>
      </c>
      <c r="B56" s="401" t="s">
        <v>332</v>
      </c>
      <c r="C56" s="402"/>
      <c r="D56" s="402"/>
      <c r="E56" s="402"/>
      <c r="F56" s="402"/>
      <c r="G56" s="216">
        <v>-2.9</v>
      </c>
      <c r="H56" s="132">
        <v>72</v>
      </c>
      <c r="I56" s="10"/>
      <c r="J56" s="10"/>
      <c r="K56" s="330"/>
      <c r="L56" s="330"/>
    </row>
    <row r="57" spans="1:15" s="145" customFormat="1" ht="13.5" customHeight="1">
      <c r="A57" s="332" t="s">
        <v>135</v>
      </c>
      <c r="B57" s="413" t="s">
        <v>30</v>
      </c>
      <c r="C57" s="405"/>
      <c r="D57" s="405"/>
      <c r="E57" s="405"/>
      <c r="F57" s="405"/>
      <c r="G57" s="133">
        <f>+G123</f>
        <v>0</v>
      </c>
      <c r="H57" s="130">
        <v>132.80000000000001</v>
      </c>
      <c r="I57" s="10"/>
      <c r="J57" s="10"/>
      <c r="K57" s="17"/>
      <c r="L57" s="17"/>
    </row>
    <row r="58" spans="1:15" s="145" customFormat="1" ht="13.5" customHeight="1">
      <c r="A58" s="332" t="s">
        <v>136</v>
      </c>
      <c r="B58" s="413" t="s">
        <v>31</v>
      </c>
      <c r="C58" s="405"/>
      <c r="D58" s="405"/>
      <c r="E58" s="405"/>
      <c r="F58" s="405"/>
      <c r="G58" s="133">
        <f>+G141</f>
        <v>0</v>
      </c>
      <c r="H58" s="130">
        <v>609.70000000000005</v>
      </c>
      <c r="I58" s="17"/>
      <c r="J58" s="10"/>
      <c r="K58" s="17"/>
      <c r="L58" s="17"/>
    </row>
    <row r="59" spans="1:15" s="145" customFormat="1" ht="13.5" customHeight="1">
      <c r="A59" s="332" t="s">
        <v>137</v>
      </c>
      <c r="B59" s="413" t="s">
        <v>32</v>
      </c>
      <c r="C59" s="405"/>
      <c r="D59" s="405"/>
      <c r="E59" s="405"/>
      <c r="F59" s="405"/>
      <c r="G59" s="133">
        <f>+G165</f>
        <v>0</v>
      </c>
      <c r="H59" s="130">
        <v>833.05</v>
      </c>
      <c r="I59" s="334"/>
      <c r="J59" s="10"/>
      <c r="K59" s="17"/>
      <c r="L59" s="17"/>
    </row>
    <row r="60" spans="1:15" s="145" customFormat="1" ht="13.5" customHeight="1">
      <c r="A60" s="332" t="s">
        <v>158</v>
      </c>
      <c r="B60" s="413" t="s">
        <v>159</v>
      </c>
      <c r="C60" s="405"/>
      <c r="D60" s="405"/>
      <c r="E60" s="405"/>
      <c r="F60" s="405"/>
      <c r="G60" s="133">
        <f>+G174</f>
        <v>0.3</v>
      </c>
      <c r="H60" s="130">
        <v>7.2</v>
      </c>
      <c r="I60" s="17"/>
      <c r="J60" s="10"/>
      <c r="K60" s="17"/>
      <c r="L60" s="17"/>
    </row>
    <row r="61" spans="1:15" s="145" customFormat="1" ht="13.5" customHeight="1">
      <c r="A61" s="332" t="s">
        <v>138</v>
      </c>
      <c r="B61" s="413" t="s">
        <v>33</v>
      </c>
      <c r="C61" s="405"/>
      <c r="D61" s="405"/>
      <c r="E61" s="405"/>
      <c r="F61" s="405"/>
      <c r="G61" s="129">
        <v>0.1</v>
      </c>
      <c r="H61" s="130">
        <v>80.099999999999994</v>
      </c>
      <c r="I61" s="335"/>
      <c r="J61" s="10"/>
      <c r="K61" s="17"/>
      <c r="L61" s="17"/>
    </row>
    <row r="62" spans="1:15" s="145" customFormat="1" ht="13.5" customHeight="1">
      <c r="A62" s="332" t="s">
        <v>139</v>
      </c>
      <c r="B62" s="413" t="s">
        <v>34</v>
      </c>
      <c r="C62" s="405"/>
      <c r="D62" s="405"/>
      <c r="E62" s="405"/>
      <c r="F62" s="405"/>
      <c r="G62" s="133">
        <f>G182</f>
        <v>0</v>
      </c>
      <c r="H62" s="130">
        <v>342.7</v>
      </c>
      <c r="I62" s="17"/>
      <c r="J62" s="17"/>
      <c r="K62" s="17"/>
      <c r="L62" s="17"/>
      <c r="M62" s="8"/>
      <c r="N62" s="8"/>
      <c r="O62" s="8"/>
    </row>
    <row r="63" spans="1:15" s="145" customFormat="1" ht="13.5" customHeight="1">
      <c r="A63" s="332" t="s">
        <v>169</v>
      </c>
      <c r="B63" s="413" t="s">
        <v>342</v>
      </c>
      <c r="C63" s="405"/>
      <c r="D63" s="405"/>
      <c r="E63" s="405"/>
      <c r="F63" s="405"/>
      <c r="G63" s="133">
        <f>ROUND(+G193,1)</f>
        <v>49.8</v>
      </c>
      <c r="H63" s="130">
        <v>485.4</v>
      </c>
      <c r="I63" s="17"/>
      <c r="J63" s="17"/>
      <c r="K63" s="17"/>
      <c r="L63" s="17"/>
      <c r="M63" s="8"/>
      <c r="N63" s="8"/>
      <c r="O63" s="8"/>
    </row>
    <row r="64" spans="1:15" s="145" customFormat="1" ht="13.5" customHeight="1">
      <c r="A64" s="332" t="s">
        <v>204</v>
      </c>
      <c r="B64" s="413" t="s">
        <v>213</v>
      </c>
      <c r="C64" s="405"/>
      <c r="D64" s="405"/>
      <c r="E64" s="405"/>
      <c r="F64" s="405"/>
      <c r="G64" s="133">
        <f>ROUND(+G199,1)</f>
        <v>0</v>
      </c>
      <c r="H64" s="130">
        <v>48.6</v>
      </c>
      <c r="I64" s="17"/>
      <c r="J64" s="17"/>
      <c r="K64" s="17"/>
      <c r="L64" s="17"/>
      <c r="M64" s="8"/>
      <c r="N64" s="8"/>
      <c r="O64" s="8"/>
    </row>
    <row r="65" spans="1:15" s="145" customFormat="1" ht="15" customHeight="1">
      <c r="A65" s="333">
        <v>73</v>
      </c>
      <c r="B65" s="401" t="s">
        <v>122</v>
      </c>
      <c r="C65" s="402"/>
      <c r="D65" s="402"/>
      <c r="E65" s="402"/>
      <c r="F65" s="402"/>
      <c r="G65" s="132">
        <f>SUM(G57:G64)</f>
        <v>50.199999999999996</v>
      </c>
      <c r="H65" s="132">
        <f>SUM(H57:H64)</f>
        <v>2539.5499999999997</v>
      </c>
      <c r="I65" s="17"/>
      <c r="J65" s="17"/>
      <c r="K65" s="17"/>
      <c r="L65" s="17"/>
      <c r="M65" s="8"/>
      <c r="N65" s="8"/>
      <c r="O65" s="8"/>
    </row>
    <row r="66" spans="1:15" s="145" customFormat="1">
      <c r="A66" s="332" t="s">
        <v>140</v>
      </c>
      <c r="B66" s="413" t="s">
        <v>170</v>
      </c>
      <c r="C66" s="405"/>
      <c r="D66" s="405"/>
      <c r="E66" s="405"/>
      <c r="F66" s="405"/>
      <c r="G66" s="133">
        <f>+Hoved2!I12</f>
        <v>-20.900000000000006</v>
      </c>
      <c r="H66" s="130">
        <v>1374.2</v>
      </c>
      <c r="I66" s="17"/>
      <c r="J66" s="17"/>
      <c r="K66" s="212"/>
      <c r="L66" s="212"/>
      <c r="M66" s="8"/>
      <c r="N66" s="8"/>
      <c r="O66" s="8"/>
    </row>
    <row r="67" spans="1:15" s="145" customFormat="1">
      <c r="A67" s="332" t="s">
        <v>141</v>
      </c>
      <c r="B67" s="413" t="s">
        <v>168</v>
      </c>
      <c r="C67" s="405"/>
      <c r="D67" s="405"/>
      <c r="E67" s="405"/>
      <c r="F67" s="405"/>
      <c r="G67" s="133">
        <f>+Hoved2!I68</f>
        <v>72.323050000000052</v>
      </c>
      <c r="H67" s="130">
        <v>2512.9</v>
      </c>
      <c r="I67" s="17"/>
      <c r="J67" s="17"/>
      <c r="K67" s="212"/>
      <c r="L67" s="212"/>
      <c r="M67" s="8"/>
      <c r="N67" s="8"/>
      <c r="O67" s="8"/>
    </row>
    <row r="68" spans="1:15" s="145" customFormat="1">
      <c r="A68" s="332" t="s">
        <v>220</v>
      </c>
      <c r="B68" s="413" t="s">
        <v>216</v>
      </c>
      <c r="C68" s="405"/>
      <c r="D68" s="405"/>
      <c r="E68" s="405"/>
      <c r="F68" s="405"/>
      <c r="G68" s="133">
        <f>+Hoved2!I80</f>
        <v>4.1000000000000005</v>
      </c>
      <c r="H68" s="130">
        <v>784.6</v>
      </c>
      <c r="I68" s="17"/>
      <c r="J68" s="17"/>
      <c r="K68" s="212"/>
      <c r="L68" s="212"/>
      <c r="M68" s="8"/>
      <c r="N68" s="8"/>
      <c r="O68" s="8"/>
    </row>
    <row r="69" spans="1:15" s="145" customFormat="1">
      <c r="A69" s="332" t="s">
        <v>142</v>
      </c>
      <c r="B69" s="413" t="s">
        <v>203</v>
      </c>
      <c r="C69" s="405"/>
      <c r="D69" s="405"/>
      <c r="E69" s="405"/>
      <c r="F69" s="405"/>
      <c r="G69" s="133">
        <f>+Hoved2!I91</f>
        <v>-64.60005000000001</v>
      </c>
      <c r="H69" s="130">
        <v>3212.2</v>
      </c>
      <c r="I69" s="17"/>
      <c r="J69" s="17"/>
      <c r="K69" s="212"/>
      <c r="L69" s="212"/>
      <c r="M69" s="8"/>
      <c r="N69" s="8"/>
      <c r="O69" s="8"/>
    </row>
    <row r="70" spans="1:15" s="145" customFormat="1">
      <c r="A70" s="332" t="s">
        <v>189</v>
      </c>
      <c r="B70" s="413" t="s">
        <v>212</v>
      </c>
      <c r="C70" s="405"/>
      <c r="D70" s="405"/>
      <c r="E70" s="405"/>
      <c r="F70" s="405"/>
      <c r="G70" s="129">
        <f>-18.5+6.5</f>
        <v>-12</v>
      </c>
      <c r="H70" s="130">
        <v>448.5</v>
      </c>
      <c r="I70" s="17"/>
      <c r="J70" s="17"/>
      <c r="K70" s="17"/>
      <c r="L70" s="17"/>
      <c r="M70" s="8"/>
      <c r="N70" s="8"/>
      <c r="O70" s="8"/>
    </row>
    <row r="71" spans="1:15" s="145" customFormat="1">
      <c r="A71" s="332" t="s">
        <v>186</v>
      </c>
      <c r="B71" s="413" t="s">
        <v>36</v>
      </c>
      <c r="C71" s="405"/>
      <c r="D71" s="405"/>
      <c r="E71" s="405"/>
      <c r="F71" s="405"/>
      <c r="G71" s="133">
        <f>+Hoved2!I203</f>
        <v>-1.7999999999999989</v>
      </c>
      <c r="H71" s="130">
        <v>110</v>
      </c>
      <c r="I71" s="17"/>
      <c r="J71" s="17"/>
      <c r="K71" s="17"/>
      <c r="L71" s="17"/>
      <c r="M71" s="8"/>
      <c r="N71" s="8"/>
      <c r="O71" s="8"/>
    </row>
    <row r="72" spans="1:15" s="145" customFormat="1">
      <c r="A72" s="333">
        <v>74</v>
      </c>
      <c r="B72" s="401" t="s">
        <v>123</v>
      </c>
      <c r="C72" s="402"/>
      <c r="D72" s="402"/>
      <c r="E72" s="402"/>
      <c r="F72" s="402"/>
      <c r="G72" s="134">
        <f>SUM(G66:G71)</f>
        <v>-22.87699999999996</v>
      </c>
      <c r="H72" s="134">
        <f>SUM(H66:H71)</f>
        <v>8442.4000000000015</v>
      </c>
      <c r="I72" s="336"/>
      <c r="J72" s="288" t="s">
        <v>404</v>
      </c>
      <c r="K72" s="17"/>
      <c r="L72" s="17"/>
      <c r="M72" s="8"/>
      <c r="N72" s="8"/>
      <c r="O72" s="8"/>
    </row>
    <row r="73" spans="1:15" s="145" customFormat="1" ht="12.75" customHeight="1">
      <c r="A73" s="332" t="s">
        <v>143</v>
      </c>
      <c r="B73" s="413" t="s">
        <v>183</v>
      </c>
      <c r="C73" s="405"/>
      <c r="D73" s="405"/>
      <c r="E73" s="405"/>
      <c r="F73" s="405"/>
      <c r="G73" s="129">
        <v>-5.77</v>
      </c>
      <c r="H73" s="130">
        <v>90.67</v>
      </c>
      <c r="I73" s="336"/>
      <c r="J73" s="17">
        <v>-3.77</v>
      </c>
      <c r="K73" s="8"/>
      <c r="L73" s="8"/>
      <c r="M73" s="8"/>
      <c r="N73" s="8"/>
      <c r="O73" s="8"/>
    </row>
    <row r="74" spans="1:15" s="145" customFormat="1" ht="12.75" customHeight="1">
      <c r="A74" s="332" t="s">
        <v>144</v>
      </c>
      <c r="B74" s="413" t="s">
        <v>191</v>
      </c>
      <c r="C74" s="405"/>
      <c r="D74" s="405"/>
      <c r="E74" s="405"/>
      <c r="F74" s="405"/>
      <c r="G74" s="129">
        <v>0.2</v>
      </c>
      <c r="H74" s="130">
        <v>13.52</v>
      </c>
      <c r="I74" s="274"/>
      <c r="J74" s="17">
        <v>0.2</v>
      </c>
      <c r="K74" s="8"/>
      <c r="L74" s="8"/>
      <c r="M74" s="8"/>
      <c r="N74" s="8"/>
      <c r="O74" s="8"/>
    </row>
    <row r="75" spans="1:15" s="145" customFormat="1" ht="12.75" customHeight="1">
      <c r="A75" s="332" t="s">
        <v>145</v>
      </c>
      <c r="B75" s="413" t="s">
        <v>343</v>
      </c>
      <c r="C75" s="405"/>
      <c r="D75" s="405"/>
      <c r="E75" s="405"/>
      <c r="F75" s="405"/>
      <c r="G75" s="129">
        <f>-3+3</f>
        <v>0</v>
      </c>
      <c r="H75" s="130">
        <v>82.5</v>
      </c>
      <c r="I75" s="274"/>
      <c r="J75" s="17">
        <v>-1</v>
      </c>
      <c r="K75" s="8"/>
      <c r="L75" s="8"/>
      <c r="M75" s="8"/>
      <c r="N75" s="8">
        <v>1.4</v>
      </c>
      <c r="O75" s="8"/>
    </row>
    <row r="76" spans="1:15" s="145" customFormat="1" ht="12.75" customHeight="1">
      <c r="A76" s="332" t="s">
        <v>146</v>
      </c>
      <c r="B76" s="413" t="s">
        <v>167</v>
      </c>
      <c r="C76" s="405"/>
      <c r="D76" s="405"/>
      <c r="E76" s="405"/>
      <c r="F76" s="405"/>
      <c r="G76" s="129">
        <v>-5.4</v>
      </c>
      <c r="H76" s="130">
        <v>23.2</v>
      </c>
      <c r="I76" s="274"/>
      <c r="J76" s="17"/>
      <c r="K76" s="8"/>
      <c r="L76" s="8"/>
      <c r="M76" s="8"/>
      <c r="N76" s="8">
        <f>N75*0.05</f>
        <v>6.9999999999999993E-2</v>
      </c>
      <c r="O76" s="8"/>
    </row>
    <row r="77" spans="1:15" s="145" customFormat="1" ht="12.75" customHeight="1">
      <c r="A77" s="332" t="s">
        <v>147</v>
      </c>
      <c r="B77" s="413" t="s">
        <v>187</v>
      </c>
      <c r="C77" s="405"/>
      <c r="D77" s="405"/>
      <c r="E77" s="405"/>
      <c r="F77" s="405"/>
      <c r="G77" s="129">
        <v>-1.74</v>
      </c>
      <c r="H77" s="130">
        <v>52.9</v>
      </c>
      <c r="I77" s="274"/>
      <c r="J77" s="17">
        <v>0.26</v>
      </c>
      <c r="K77" s="8"/>
      <c r="L77" s="8"/>
      <c r="M77" s="8"/>
      <c r="N77" s="8"/>
      <c r="O77" s="8"/>
    </row>
    <row r="78" spans="1:15" s="145" customFormat="1" ht="12.75" customHeight="1">
      <c r="A78" s="332" t="s">
        <v>148</v>
      </c>
      <c r="B78" s="413" t="s">
        <v>37</v>
      </c>
      <c r="C78" s="405"/>
      <c r="D78" s="405"/>
      <c r="E78" s="405"/>
      <c r="F78" s="405"/>
      <c r="G78" s="129">
        <v>0</v>
      </c>
      <c r="H78" s="130">
        <v>13</v>
      </c>
      <c r="I78" s="274"/>
      <c r="J78" s="17"/>
      <c r="K78" s="8"/>
      <c r="L78" s="8"/>
      <c r="M78" s="8"/>
      <c r="N78" s="8"/>
      <c r="O78" s="8"/>
    </row>
    <row r="79" spans="1:15" s="145" customFormat="1" ht="15" customHeight="1">
      <c r="A79" s="333">
        <v>77</v>
      </c>
      <c r="B79" s="401" t="s">
        <v>124</v>
      </c>
      <c r="C79" s="402"/>
      <c r="D79" s="402"/>
      <c r="E79" s="402"/>
      <c r="F79" s="402"/>
      <c r="G79" s="131">
        <f>SUM(G73:G78)</f>
        <v>-12.709999999999999</v>
      </c>
      <c r="H79" s="131">
        <f>SUM(H73:H78)</f>
        <v>275.78999999999996</v>
      </c>
      <c r="I79" s="8"/>
      <c r="J79" s="17"/>
      <c r="K79" s="8"/>
      <c r="L79" s="8"/>
      <c r="M79" s="8"/>
      <c r="N79" s="8"/>
      <c r="O79" s="8"/>
    </row>
    <row r="80" spans="1:15" s="145" customFormat="1">
      <c r="A80" s="332" t="s">
        <v>149</v>
      </c>
      <c r="B80" s="413" t="s">
        <v>269</v>
      </c>
      <c r="C80" s="405"/>
      <c r="D80" s="405"/>
      <c r="E80" s="405"/>
      <c r="F80" s="405"/>
      <c r="G80" s="133">
        <f>+Hoved2!I235</f>
        <v>13.599999999999998</v>
      </c>
      <c r="H80" s="130">
        <v>1174.1189999999999</v>
      </c>
      <c r="I80" s="8"/>
      <c r="J80" s="288" t="s">
        <v>404</v>
      </c>
      <c r="K80" s="8"/>
      <c r="L80" s="8"/>
      <c r="M80" s="8"/>
      <c r="N80" s="337">
        <f>141/132.6</f>
        <v>1.0633484162895928</v>
      </c>
      <c r="O80" s="8"/>
    </row>
    <row r="81" spans="1:16" s="145" customFormat="1">
      <c r="A81" s="332" t="s">
        <v>150</v>
      </c>
      <c r="B81" s="413" t="s">
        <v>287</v>
      </c>
      <c r="C81" s="405"/>
      <c r="D81" s="405"/>
      <c r="E81" s="405"/>
      <c r="F81" s="405"/>
      <c r="G81" s="268">
        <v>-20.8</v>
      </c>
      <c r="H81" s="130">
        <v>186.4</v>
      </c>
      <c r="I81" s="8"/>
      <c r="J81" s="145">
        <v>-20.8</v>
      </c>
      <c r="N81" s="145">
        <f>168.4/153.3</f>
        <v>1.0984996738421395</v>
      </c>
    </row>
    <row r="82" spans="1:16" s="145" customFormat="1">
      <c r="A82" s="332" t="s">
        <v>151</v>
      </c>
      <c r="B82" s="413" t="s">
        <v>38</v>
      </c>
      <c r="C82" s="405"/>
      <c r="D82" s="405"/>
      <c r="E82" s="405"/>
      <c r="F82" s="405"/>
      <c r="G82" s="129"/>
      <c r="H82" s="130">
        <v>88</v>
      </c>
      <c r="I82" s="209"/>
      <c r="J82" s="17"/>
      <c r="K82" s="8"/>
      <c r="L82" s="8"/>
      <c r="M82" s="8"/>
      <c r="N82" s="8"/>
      <c r="O82" s="8"/>
    </row>
    <row r="83" spans="1:16" s="145" customFormat="1">
      <c r="A83" s="332" t="s">
        <v>152</v>
      </c>
      <c r="B83" s="413" t="s">
        <v>270</v>
      </c>
      <c r="C83" s="405"/>
      <c r="D83" s="405"/>
      <c r="E83" s="405"/>
      <c r="F83" s="405"/>
      <c r="G83" s="129">
        <f>+J83</f>
        <v>2</v>
      </c>
      <c r="H83" s="130">
        <v>62</v>
      </c>
      <c r="I83" s="8"/>
      <c r="J83" s="17">
        <v>2</v>
      </c>
      <c r="K83" s="8"/>
      <c r="L83" s="8"/>
      <c r="M83" s="8"/>
      <c r="N83" s="8">
        <f>2650/133</f>
        <v>19.924812030075188</v>
      </c>
      <c r="O83" s="8"/>
    </row>
    <row r="84" spans="1:16" s="145" customFormat="1">
      <c r="A84" s="332" t="s">
        <v>153</v>
      </c>
      <c r="B84" s="413" t="s">
        <v>271</v>
      </c>
      <c r="C84" s="405"/>
      <c r="D84" s="405"/>
      <c r="E84" s="405"/>
      <c r="F84" s="405"/>
      <c r="G84" s="129">
        <v>0</v>
      </c>
      <c r="H84" s="130">
        <v>91.234999999999999</v>
      </c>
      <c r="I84" s="8"/>
      <c r="J84" s="17">
        <v>-2.7</v>
      </c>
      <c r="K84" s="8"/>
      <c r="L84" s="8"/>
      <c r="M84" s="8"/>
      <c r="N84" s="8">
        <f>2400/153</f>
        <v>15.686274509803921</v>
      </c>
      <c r="O84" s="8"/>
    </row>
    <row r="85" spans="1:16" s="145" customFormat="1">
      <c r="A85" s="333">
        <v>78</v>
      </c>
      <c r="B85" s="401" t="s">
        <v>125</v>
      </c>
      <c r="C85" s="402"/>
      <c r="D85" s="402"/>
      <c r="E85" s="402"/>
      <c r="F85" s="402"/>
      <c r="G85" s="134">
        <f>SUM(G80:G84)</f>
        <v>-5.2000000000000028</v>
      </c>
      <c r="H85" s="132">
        <f>SUM(H80:H84)</f>
        <v>1601.7539999999999</v>
      </c>
      <c r="I85" s="8"/>
      <c r="J85" s="17"/>
      <c r="K85" s="8"/>
      <c r="L85" s="8"/>
      <c r="M85" s="8"/>
      <c r="N85" s="8"/>
      <c r="O85" s="8"/>
    </row>
    <row r="86" spans="1:16" s="145" customFormat="1" ht="13.5" thickBot="1">
      <c r="A86" s="409" t="s">
        <v>185</v>
      </c>
      <c r="B86" s="416"/>
      <c r="C86" s="416"/>
      <c r="D86" s="416"/>
      <c r="E86" s="416"/>
      <c r="F86" s="416"/>
      <c r="G86" s="135">
        <f>+G85+G79+G72+G65+G56+G55+G51+G49</f>
        <v>-2.7869999999999635</v>
      </c>
      <c r="H86" s="135">
        <f>+H85+H79+H72+H65+H56+H55+H51+H49</f>
        <v>14415.447</v>
      </c>
      <c r="I86" s="9"/>
      <c r="J86" s="17"/>
      <c r="K86" s="8"/>
      <c r="L86" s="8"/>
      <c r="M86" s="8"/>
      <c r="N86" s="8"/>
      <c r="O86" s="8"/>
    </row>
    <row r="87" spans="1:16" s="145" customFormat="1" ht="12" customHeight="1">
      <c r="A87" s="425" t="s">
        <v>291</v>
      </c>
      <c r="B87" s="426"/>
      <c r="C87" s="426"/>
      <c r="D87" s="426"/>
      <c r="E87" s="426"/>
      <c r="F87" s="426"/>
      <c r="G87" s="426"/>
      <c r="H87" s="426"/>
      <c r="J87" s="17"/>
      <c r="K87" s="8"/>
      <c r="L87" s="8"/>
      <c r="M87" s="8"/>
      <c r="N87" s="8"/>
      <c r="O87" s="8"/>
    </row>
    <row r="88" spans="1:16" s="145" customFormat="1" ht="12" customHeight="1">
      <c r="A88" s="425"/>
      <c r="B88" s="427"/>
      <c r="C88" s="427"/>
      <c r="D88" s="427"/>
      <c r="E88" s="427"/>
      <c r="F88" s="427"/>
      <c r="G88" s="427"/>
      <c r="H88" s="427"/>
      <c r="I88" s="8"/>
      <c r="J88" s="17"/>
      <c r="K88" s="8"/>
      <c r="L88" s="8"/>
      <c r="M88" s="8"/>
      <c r="N88" s="8"/>
      <c r="O88" s="8"/>
    </row>
    <row r="89" spans="1:16" s="145" customFormat="1" ht="12" customHeight="1">
      <c r="A89" s="338"/>
      <c r="B89" s="281"/>
      <c r="C89" s="281"/>
      <c r="D89" s="281"/>
      <c r="E89" s="281"/>
      <c r="F89" s="281"/>
      <c r="G89" s="281"/>
      <c r="H89" s="281"/>
      <c r="I89" s="8"/>
      <c r="J89" s="17"/>
      <c r="K89" s="8"/>
      <c r="L89" s="8"/>
      <c r="M89" s="8"/>
      <c r="N89" s="8"/>
      <c r="O89" s="8"/>
    </row>
    <row r="90" spans="1:16" s="145" customFormat="1">
      <c r="A90" s="338"/>
      <c r="B90" s="281"/>
      <c r="C90" s="281"/>
      <c r="D90" s="281"/>
      <c r="E90" s="281"/>
      <c r="F90" s="281"/>
      <c r="G90" s="281"/>
      <c r="H90" s="281"/>
      <c r="I90" s="9"/>
      <c r="J90" s="8"/>
      <c r="K90" s="17"/>
      <c r="L90" s="8"/>
      <c r="M90" s="8"/>
      <c r="N90" s="8"/>
      <c r="O90" s="8"/>
      <c r="P90" s="8"/>
    </row>
    <row r="91" spans="1:16" s="145" customFormat="1">
      <c r="A91" s="338"/>
      <c r="B91" s="281"/>
      <c r="C91" s="281"/>
      <c r="D91" s="281"/>
      <c r="E91" s="281"/>
      <c r="F91" s="281"/>
      <c r="G91" s="281"/>
      <c r="H91" s="281"/>
      <c r="I91" s="8"/>
      <c r="J91" s="8"/>
      <c r="K91" s="17"/>
      <c r="L91" s="8"/>
      <c r="M91" s="8"/>
      <c r="N91" s="8"/>
      <c r="O91" s="8"/>
      <c r="P91" s="8"/>
    </row>
    <row r="92" spans="1:16" ht="14.25" customHeight="1">
      <c r="B92" s="5"/>
      <c r="C92" s="5"/>
      <c r="D92" s="98"/>
      <c r="E92" s="98"/>
      <c r="F92" s="17"/>
      <c r="G92" s="17"/>
      <c r="J92" s="13"/>
      <c r="K92" s="9"/>
      <c r="L92" s="8"/>
      <c r="M92" s="8"/>
    </row>
    <row r="93" spans="1:16" ht="13.5" thickBot="1">
      <c r="A93" s="417" t="s">
        <v>35</v>
      </c>
      <c r="B93" s="405"/>
      <c r="C93" s="405"/>
      <c r="I93" s="209"/>
      <c r="J93" s="13"/>
      <c r="K93" s="9"/>
      <c r="L93" s="8"/>
      <c r="M93" s="8"/>
    </row>
    <row r="94" spans="1:16">
      <c r="A94" s="390"/>
      <c r="B94" s="405"/>
      <c r="C94" s="405"/>
      <c r="D94" s="288" t="s">
        <v>13</v>
      </c>
      <c r="E94" s="288" t="s">
        <v>176</v>
      </c>
      <c r="F94" s="284" t="s">
        <v>18</v>
      </c>
      <c r="G94" s="284"/>
      <c r="I94" s="209"/>
      <c r="J94" s="13"/>
      <c r="K94" s="66"/>
      <c r="L94" s="196"/>
      <c r="M94" s="67"/>
      <c r="N94" s="68" t="s">
        <v>12</v>
      </c>
    </row>
    <row r="95" spans="1:16">
      <c r="A95" s="389" t="s">
        <v>41</v>
      </c>
      <c r="B95" s="397"/>
      <c r="C95" s="397"/>
      <c r="D95" s="86" t="s">
        <v>39</v>
      </c>
      <c r="E95" s="291" t="s">
        <v>40</v>
      </c>
      <c r="F95" s="291" t="s">
        <v>40</v>
      </c>
      <c r="G95" s="113" t="s">
        <v>0</v>
      </c>
      <c r="I95" s="240"/>
      <c r="K95" s="69"/>
      <c r="L95" s="100"/>
      <c r="M95" s="70"/>
      <c r="N95" s="71" t="s">
        <v>16</v>
      </c>
    </row>
    <row r="96" spans="1:16">
      <c r="A96" s="382" t="s">
        <v>42</v>
      </c>
      <c r="B96" s="382"/>
      <c r="C96" s="382"/>
      <c r="D96" s="203">
        <v>164.64</v>
      </c>
      <c r="E96" s="11">
        <v>2.93</v>
      </c>
      <c r="F96" s="12">
        <v>0.05</v>
      </c>
      <c r="G96" s="30">
        <f t="shared" ref="G96:G102" si="2">+D96*F96</f>
        <v>8.2319999999999993</v>
      </c>
      <c r="H96" s="209"/>
      <c r="I96" s="240"/>
      <c r="J96" s="9"/>
      <c r="K96" s="72">
        <f>D96</f>
        <v>164.64</v>
      </c>
      <c r="L96" s="30" t="s">
        <v>365</v>
      </c>
      <c r="M96" s="73"/>
      <c r="N96" s="74">
        <f>K96*F96</f>
        <v>8.2319999999999993</v>
      </c>
    </row>
    <row r="97" spans="1:14">
      <c r="A97" s="382" t="s">
        <v>43</v>
      </c>
      <c r="B97" s="382"/>
      <c r="C97" s="382"/>
      <c r="D97" s="203">
        <v>14.287000000000001</v>
      </c>
      <c r="E97" s="11">
        <v>2.77</v>
      </c>
      <c r="F97" s="12">
        <v>0.05</v>
      </c>
      <c r="G97" s="30">
        <f t="shared" si="2"/>
        <v>0.71435000000000004</v>
      </c>
      <c r="H97" s="209"/>
      <c r="I97" s="9"/>
      <c r="J97" s="9"/>
      <c r="K97" s="72">
        <f>D97</f>
        <v>14.287000000000001</v>
      </c>
      <c r="L97" s="30" t="s">
        <v>366</v>
      </c>
      <c r="M97" s="73"/>
      <c r="N97" s="74">
        <f>F97*K97</f>
        <v>0.71435000000000004</v>
      </c>
    </row>
    <row r="98" spans="1:14">
      <c r="A98" s="382" t="s">
        <v>275</v>
      </c>
      <c r="B98" s="382"/>
      <c r="C98" s="382"/>
      <c r="D98" s="203">
        <v>502.96</v>
      </c>
      <c r="E98" s="11">
        <v>2.5</v>
      </c>
      <c r="F98" s="12">
        <v>0.05</v>
      </c>
      <c r="G98" s="30">
        <f t="shared" si="2"/>
        <v>25.148</v>
      </c>
      <c r="H98" s="209"/>
      <c r="J98" s="9"/>
      <c r="K98" s="75">
        <v>20</v>
      </c>
      <c r="L98" s="197" t="s">
        <v>368</v>
      </c>
      <c r="M98" s="70"/>
      <c r="N98" s="76">
        <f>K98*F98</f>
        <v>1</v>
      </c>
    </row>
    <row r="99" spans="1:14">
      <c r="A99" s="382" t="s">
        <v>276</v>
      </c>
      <c r="B99" s="382"/>
      <c r="C99" s="382"/>
      <c r="D99" s="203">
        <v>235.61500000000001</v>
      </c>
      <c r="E99" s="11">
        <v>2.2799999999999998</v>
      </c>
      <c r="F99" s="12">
        <v>0.05</v>
      </c>
      <c r="G99" s="30">
        <f t="shared" si="2"/>
        <v>11.780750000000001</v>
      </c>
      <c r="H99" s="209"/>
      <c r="J99" s="9"/>
      <c r="K99" s="72">
        <f>SUM(K96:K98)</f>
        <v>198.92699999999999</v>
      </c>
      <c r="L99" s="30"/>
      <c r="M99" s="73"/>
      <c r="N99" s="74">
        <f>SUM(N96:N98)</f>
        <v>9.9463499999999989</v>
      </c>
    </row>
    <row r="100" spans="1:14">
      <c r="A100" s="382" t="s">
        <v>277</v>
      </c>
      <c r="B100" s="382"/>
      <c r="C100" s="382"/>
      <c r="D100" s="203">
        <f>100.155+8.71</f>
        <v>108.86500000000001</v>
      </c>
      <c r="E100" s="11"/>
      <c r="F100" s="12">
        <v>0.05</v>
      </c>
      <c r="G100" s="30">
        <f>+D100*F100</f>
        <v>5.4432500000000008</v>
      </c>
      <c r="H100" s="209"/>
      <c r="J100" s="9"/>
      <c r="K100" s="72"/>
      <c r="L100" s="30"/>
      <c r="M100" s="73"/>
      <c r="N100" s="74"/>
    </row>
    <row r="101" spans="1:14">
      <c r="A101" s="382" t="s">
        <v>214</v>
      </c>
      <c r="B101" s="382"/>
      <c r="C101" s="382"/>
      <c r="D101" s="203">
        <v>2</v>
      </c>
      <c r="E101" s="11"/>
      <c r="F101" s="12">
        <v>0.05</v>
      </c>
      <c r="G101" s="30">
        <f t="shared" si="2"/>
        <v>0.1</v>
      </c>
      <c r="H101" s="209"/>
      <c r="J101" s="9"/>
      <c r="K101" s="77">
        <f>-K99*0.23</f>
        <v>-45.753210000000003</v>
      </c>
      <c r="L101" s="119" t="s">
        <v>367</v>
      </c>
      <c r="M101" s="70"/>
      <c r="N101" s="78"/>
    </row>
    <row r="102" spans="1:14" ht="13.5" thickBot="1">
      <c r="A102" s="382" t="s">
        <v>44</v>
      </c>
      <c r="B102" s="382"/>
      <c r="C102" s="382"/>
      <c r="D102" s="203">
        <f>11.683+0.703+25.924+10.7</f>
        <v>49.010000000000005</v>
      </c>
      <c r="E102" s="11"/>
      <c r="F102" s="12">
        <v>0.05</v>
      </c>
      <c r="G102" s="30">
        <f t="shared" si="2"/>
        <v>2.4505000000000003</v>
      </c>
      <c r="H102" s="209"/>
      <c r="J102" s="209"/>
      <c r="K102" s="79">
        <f>SUM(K99:K101)</f>
        <v>153.17379</v>
      </c>
      <c r="L102" s="198" t="s">
        <v>369</v>
      </c>
      <c r="M102" s="80"/>
      <c r="N102" s="81"/>
    </row>
    <row r="103" spans="1:14">
      <c r="A103" s="422" t="s">
        <v>115</v>
      </c>
      <c r="B103" s="422"/>
      <c r="C103" s="422"/>
      <c r="D103" s="58">
        <f>SUM(D96:D102)</f>
        <v>1077.377</v>
      </c>
      <c r="E103" s="63"/>
      <c r="F103" s="64">
        <f>+G103/D103</f>
        <v>0.05</v>
      </c>
      <c r="G103" s="58">
        <f>SUM(G96:G102)</f>
        <v>53.868850000000002</v>
      </c>
      <c r="H103" s="209"/>
      <c r="J103" s="9"/>
      <c r="L103" s="8"/>
      <c r="M103" s="8"/>
    </row>
    <row r="104" spans="1:14">
      <c r="A104" s="422" t="s">
        <v>45</v>
      </c>
      <c r="B104" s="422"/>
      <c r="C104" s="422"/>
      <c r="D104" s="203">
        <v>8.0549999999999997</v>
      </c>
      <c r="E104" s="11">
        <v>5.43</v>
      </c>
      <c r="F104" s="12">
        <v>0.05</v>
      </c>
      <c r="G104" s="30">
        <f>+D104*F104</f>
        <v>0.40275</v>
      </c>
      <c r="H104" s="209"/>
      <c r="J104" s="209"/>
    </row>
    <row r="105" spans="1:14">
      <c r="A105" s="422" t="s">
        <v>46</v>
      </c>
      <c r="B105" s="422"/>
      <c r="C105" s="422"/>
      <c r="D105" s="58">
        <f>SUM(D103:D104)</f>
        <v>1085.432</v>
      </c>
      <c r="E105" s="63"/>
      <c r="F105" s="64">
        <f>+G105/D105</f>
        <v>4.9999999999999996E-2</v>
      </c>
      <c r="G105" s="58">
        <f>SUM(G103:G104)</f>
        <v>54.271599999999999</v>
      </c>
      <c r="J105" s="209"/>
    </row>
    <row r="106" spans="1:14">
      <c r="A106" s="17"/>
      <c r="B106" s="17"/>
      <c r="C106" s="17"/>
      <c r="D106" s="30"/>
      <c r="E106" s="65"/>
      <c r="F106" s="37"/>
      <c r="G106" s="30"/>
      <c r="H106" s="17"/>
      <c r="J106" s="209"/>
    </row>
    <row r="107" spans="1:14">
      <c r="A107" s="41"/>
      <c r="B107" s="1"/>
      <c r="C107" s="1"/>
      <c r="D107" s="30"/>
      <c r="E107" s="42"/>
      <c r="F107" s="38"/>
      <c r="G107" s="40"/>
      <c r="J107" s="209"/>
    </row>
    <row r="108" spans="1:14">
      <c r="A108" s="419" t="s">
        <v>198</v>
      </c>
      <c r="B108" s="405"/>
      <c r="C108" s="405"/>
      <c r="D108" s="405"/>
      <c r="E108" s="36"/>
      <c r="F108" s="36"/>
      <c r="G108" s="44"/>
      <c r="H108" s="17"/>
      <c r="J108" s="9"/>
      <c r="L108" s="8"/>
      <c r="M108" s="8"/>
    </row>
    <row r="109" spans="1:14">
      <c r="A109" s="391" t="s">
        <v>48</v>
      </c>
      <c r="B109" s="405"/>
      <c r="C109" s="405"/>
      <c r="D109" s="288" t="s">
        <v>13</v>
      </c>
      <c r="E109" s="288" t="s">
        <v>47</v>
      </c>
      <c r="F109" s="284" t="s">
        <v>18</v>
      </c>
      <c r="G109" s="284" t="s">
        <v>18</v>
      </c>
      <c r="L109" s="8"/>
      <c r="M109" s="8"/>
    </row>
    <row r="110" spans="1:14">
      <c r="A110" s="388"/>
      <c r="B110" s="397"/>
      <c r="C110" s="397"/>
      <c r="D110" s="86" t="s">
        <v>39</v>
      </c>
      <c r="E110" s="291" t="s">
        <v>40</v>
      </c>
      <c r="F110" s="291" t="s">
        <v>40</v>
      </c>
      <c r="G110" s="113" t="s">
        <v>0</v>
      </c>
      <c r="L110" s="8"/>
      <c r="M110" s="8"/>
    </row>
    <row r="111" spans="1:14">
      <c r="A111" s="382" t="s">
        <v>49</v>
      </c>
      <c r="B111" s="382"/>
      <c r="C111" s="382"/>
      <c r="D111" s="203">
        <v>12</v>
      </c>
      <c r="E111" s="265">
        <v>0</v>
      </c>
      <c r="F111" s="12"/>
      <c r="G111" s="30">
        <f>+D111*F111</f>
        <v>0</v>
      </c>
      <c r="L111" s="8"/>
      <c r="M111" s="8"/>
    </row>
    <row r="112" spans="1:14">
      <c r="A112" s="382" t="s">
        <v>113</v>
      </c>
      <c r="B112" s="382"/>
      <c r="C112" s="382"/>
      <c r="D112" s="203">
        <v>180</v>
      </c>
      <c r="E112" s="265">
        <v>0</v>
      </c>
      <c r="F112" s="12"/>
      <c r="G112" s="30">
        <f>+D112*F112</f>
        <v>0</v>
      </c>
      <c r="L112" s="8"/>
      <c r="M112" s="8"/>
    </row>
    <row r="113" spans="1:17">
      <c r="A113" s="382" t="s">
        <v>114</v>
      </c>
      <c r="B113" s="382"/>
      <c r="C113" s="382"/>
      <c r="D113" s="203">
        <v>10</v>
      </c>
      <c r="E113" s="93">
        <v>0.05</v>
      </c>
      <c r="F113" s="12"/>
      <c r="G113" s="30">
        <f>+D113*F113</f>
        <v>0</v>
      </c>
      <c r="L113" s="8"/>
      <c r="M113" s="8"/>
    </row>
    <row r="114" spans="1:17">
      <c r="A114" s="422" t="s">
        <v>163</v>
      </c>
      <c r="B114" s="422"/>
      <c r="C114" s="422"/>
      <c r="D114" s="58">
        <f>SUM(D111:D113)</f>
        <v>202</v>
      </c>
      <c r="E114" s="45"/>
      <c r="F114" s="46"/>
      <c r="G114" s="97">
        <f>SUM(G111:G113)</f>
        <v>0</v>
      </c>
      <c r="L114" s="8"/>
      <c r="M114" s="8"/>
    </row>
    <row r="115" spans="1:17" ht="15">
      <c r="A115" s="382"/>
      <c r="B115" s="382"/>
      <c r="C115" s="382"/>
      <c r="D115" s="339"/>
      <c r="E115" s="340"/>
      <c r="F115" s="37"/>
      <c r="G115" s="339"/>
      <c r="H115" s="17"/>
      <c r="J115" s="341"/>
      <c r="K115" s="9"/>
      <c r="M115" s="8"/>
    </row>
    <row r="116" spans="1:17">
      <c r="F116" s="8"/>
      <c r="G116" s="8"/>
      <c r="H116" s="212"/>
      <c r="J116" s="341"/>
      <c r="L116" s="8"/>
      <c r="M116" s="8"/>
    </row>
    <row r="117" spans="1:17" ht="14.25">
      <c r="A117" s="342" t="s">
        <v>288</v>
      </c>
      <c r="B117" s="342"/>
      <c r="C117" s="342"/>
      <c r="D117" s="343"/>
      <c r="E117" s="344"/>
      <c r="F117" s="345"/>
      <c r="G117" s="346">
        <f>(+F98-F187)*0.7-(G179/1850)</f>
        <v>0</v>
      </c>
      <c r="H117" s="212"/>
      <c r="J117" s="341"/>
      <c r="L117" s="8"/>
      <c r="M117" s="8"/>
    </row>
    <row r="118" spans="1:17">
      <c r="F118" s="8"/>
      <c r="G118" s="8"/>
      <c r="J118" s="341"/>
      <c r="L118" s="8"/>
      <c r="M118" s="8"/>
    </row>
    <row r="119" spans="1:17" ht="14.25" customHeight="1">
      <c r="E119" s="199"/>
      <c r="G119" s="8"/>
      <c r="J119" s="341"/>
      <c r="L119" s="8"/>
      <c r="M119" s="8"/>
    </row>
    <row r="120" spans="1:17">
      <c r="A120" s="419" t="s">
        <v>154</v>
      </c>
      <c r="B120" s="419"/>
      <c r="C120" s="419"/>
      <c r="D120" s="424"/>
      <c r="E120" s="85"/>
      <c r="F120" s="85" t="s">
        <v>50</v>
      </c>
      <c r="G120" s="99" t="s">
        <v>12</v>
      </c>
      <c r="J120" s="341"/>
      <c r="L120" s="8"/>
      <c r="M120" s="8"/>
    </row>
    <row r="121" spans="1:17">
      <c r="A121" s="382"/>
      <c r="B121" s="382"/>
      <c r="C121" s="382"/>
      <c r="D121" s="288" t="s">
        <v>13</v>
      </c>
      <c r="E121" s="85" t="s">
        <v>47</v>
      </c>
      <c r="F121" s="85" t="s">
        <v>11</v>
      </c>
      <c r="G121" s="99" t="s">
        <v>11</v>
      </c>
      <c r="I121" s="288" t="s">
        <v>51</v>
      </c>
      <c r="J121" s="341"/>
      <c r="L121" s="8"/>
      <c r="M121" s="8"/>
    </row>
    <row r="122" spans="1:17">
      <c r="A122" s="382"/>
      <c r="B122" s="382"/>
      <c r="C122" s="382"/>
      <c r="D122" s="288" t="s">
        <v>52</v>
      </c>
      <c r="E122" s="85" t="s">
        <v>40</v>
      </c>
      <c r="F122" s="85" t="s">
        <v>40</v>
      </c>
      <c r="G122" s="99" t="s">
        <v>15</v>
      </c>
      <c r="I122" s="291" t="s">
        <v>86</v>
      </c>
      <c r="J122" s="341"/>
    </row>
    <row r="123" spans="1:17">
      <c r="A123" s="422" t="s">
        <v>193</v>
      </c>
      <c r="B123" s="422"/>
      <c r="C123" s="422"/>
      <c r="D123" s="217">
        <v>4.3620000000000001</v>
      </c>
      <c r="E123" s="33">
        <v>32</v>
      </c>
      <c r="F123" s="34">
        <v>0</v>
      </c>
      <c r="G123" s="58">
        <f>ROUND(D123*F123,1)</f>
        <v>0</v>
      </c>
      <c r="I123" s="58">
        <f>ROUND(D123*E123,1)</f>
        <v>139.6</v>
      </c>
      <c r="J123" s="341"/>
      <c r="K123" s="9"/>
    </row>
    <row r="124" spans="1:17" ht="24" customHeight="1">
      <c r="A124" s="182"/>
      <c r="B124" s="17"/>
      <c r="C124" s="17"/>
      <c r="D124" s="44"/>
      <c r="E124" s="36"/>
      <c r="F124" s="147"/>
      <c r="G124" s="30"/>
      <c r="J124" s="341"/>
      <c r="K124" s="347"/>
    </row>
    <row r="125" spans="1:17">
      <c r="A125" s="417" t="s">
        <v>155</v>
      </c>
      <c r="B125" s="405"/>
      <c r="C125" s="405"/>
      <c r="D125" s="288"/>
      <c r="E125" s="85" t="s">
        <v>53</v>
      </c>
      <c r="F125" s="85" t="s">
        <v>50</v>
      </c>
      <c r="G125" s="288" t="s">
        <v>12</v>
      </c>
      <c r="J125" s="341"/>
      <c r="K125" s="9"/>
    </row>
    <row r="126" spans="1:17">
      <c r="A126" s="382"/>
      <c r="B126" s="382"/>
      <c r="C126" s="382"/>
      <c r="D126" s="288" t="s">
        <v>13</v>
      </c>
      <c r="E126" s="85" t="s">
        <v>54</v>
      </c>
      <c r="F126" s="85" t="s">
        <v>11</v>
      </c>
      <c r="G126" s="288" t="s">
        <v>11</v>
      </c>
      <c r="I126" s="288" t="s">
        <v>51</v>
      </c>
      <c r="J126" s="341"/>
      <c r="K126" s="9"/>
    </row>
    <row r="127" spans="1:17">
      <c r="A127" s="382"/>
      <c r="B127" s="382"/>
      <c r="C127" s="382"/>
      <c r="D127" s="291" t="s">
        <v>55</v>
      </c>
      <c r="E127" s="86" t="s">
        <v>56</v>
      </c>
      <c r="F127" s="86" t="s">
        <v>56</v>
      </c>
      <c r="G127" s="291" t="s">
        <v>15</v>
      </c>
      <c r="I127" s="291" t="s">
        <v>86</v>
      </c>
      <c r="J127" s="341"/>
      <c r="K127" s="341"/>
      <c r="L127" s="341"/>
      <c r="M127" s="341"/>
    </row>
    <row r="128" spans="1:17" ht="15.75" customHeight="1">
      <c r="A128" s="384" t="s">
        <v>188</v>
      </c>
      <c r="B128" s="384"/>
      <c r="C128" s="384"/>
      <c r="D128" s="264">
        <v>19.899999999999999</v>
      </c>
      <c r="E128" s="123">
        <v>3.26</v>
      </c>
      <c r="F128" s="124"/>
      <c r="G128" s="58">
        <f>ROUND(D128*F128,1)</f>
        <v>0</v>
      </c>
      <c r="I128" s="58">
        <f>ROUND(D128*E128,1)</f>
        <v>64.900000000000006</v>
      </c>
      <c r="J128" s="341"/>
      <c r="K128" s="341"/>
      <c r="L128" s="341"/>
      <c r="M128" s="341"/>
      <c r="N128" s="348"/>
      <c r="O128" s="319"/>
      <c r="P128" s="319"/>
      <c r="Q128" s="319"/>
    </row>
    <row r="129" spans="1:18" ht="18" customHeight="1">
      <c r="A129" s="403" t="s">
        <v>58</v>
      </c>
      <c r="B129" s="387"/>
      <c r="C129" s="387"/>
      <c r="D129" s="142"/>
      <c r="E129" s="65"/>
      <c r="F129" s="65"/>
      <c r="G129" s="44"/>
      <c r="I129" s="17"/>
      <c r="J129" s="341"/>
      <c r="K129" s="341"/>
      <c r="L129" s="8"/>
      <c r="M129" s="8"/>
    </row>
    <row r="130" spans="1:18" ht="15.75">
      <c r="A130" s="382" t="s">
        <v>356</v>
      </c>
      <c r="B130" s="382"/>
      <c r="C130" s="382"/>
      <c r="D130" s="263">
        <v>196.3</v>
      </c>
      <c r="E130" s="11">
        <v>0</v>
      </c>
      <c r="F130" s="12"/>
      <c r="G130" s="30">
        <f t="shared" ref="G130:G139" si="3">ROUND(D130*F130,1)</f>
        <v>0</v>
      </c>
      <c r="I130" s="30">
        <f t="shared" ref="I130:I139" si="4">ROUND(D130*E130,1)</f>
        <v>0</v>
      </c>
      <c r="J130" s="341"/>
      <c r="K130" s="349"/>
      <c r="L130" s="350"/>
      <c r="M130" s="209"/>
    </row>
    <row r="131" spans="1:18">
      <c r="A131" s="382" t="s">
        <v>119</v>
      </c>
      <c r="B131" s="382"/>
      <c r="C131" s="382"/>
      <c r="D131" s="263">
        <v>326.8</v>
      </c>
      <c r="E131" s="11">
        <v>0.12</v>
      </c>
      <c r="F131" s="12"/>
      <c r="G131" s="30">
        <f t="shared" si="3"/>
        <v>0</v>
      </c>
      <c r="I131" s="30">
        <f t="shared" si="4"/>
        <v>39.200000000000003</v>
      </c>
      <c r="J131" s="341"/>
      <c r="K131" s="350"/>
      <c r="L131" s="350"/>
      <c r="M131" s="209"/>
    </row>
    <row r="132" spans="1:18">
      <c r="A132" s="382" t="s">
        <v>120</v>
      </c>
      <c r="B132" s="382"/>
      <c r="C132" s="382"/>
      <c r="D132" s="263">
        <v>238.4</v>
      </c>
      <c r="E132" s="11">
        <v>0.31</v>
      </c>
      <c r="F132" s="12"/>
      <c r="G132" s="30">
        <f t="shared" si="3"/>
        <v>0</v>
      </c>
      <c r="I132" s="30">
        <f t="shared" si="4"/>
        <v>73.900000000000006</v>
      </c>
      <c r="K132" s="350"/>
      <c r="L132" s="350"/>
      <c r="M132" s="209"/>
    </row>
    <row r="133" spans="1:18">
      <c r="A133" s="382" t="s">
        <v>59</v>
      </c>
      <c r="B133" s="382"/>
      <c r="C133" s="382"/>
      <c r="D133" s="263">
        <v>514.79999999999995</v>
      </c>
      <c r="E133" s="11">
        <v>0.44</v>
      </c>
      <c r="F133" s="12"/>
      <c r="G133" s="30">
        <f t="shared" si="3"/>
        <v>0</v>
      </c>
      <c r="I133" s="30">
        <f t="shared" si="4"/>
        <v>226.5</v>
      </c>
      <c r="K133" s="350"/>
      <c r="L133" s="350"/>
      <c r="M133" s="209"/>
    </row>
    <row r="134" spans="1:18">
      <c r="A134" s="382" t="s">
        <v>60</v>
      </c>
      <c r="B134" s="382"/>
      <c r="C134" s="382"/>
      <c r="D134" s="263">
        <v>121</v>
      </c>
      <c r="E134" s="11">
        <v>0.54</v>
      </c>
      <c r="F134" s="12"/>
      <c r="G134" s="30">
        <f t="shared" si="3"/>
        <v>0</v>
      </c>
      <c r="I134" s="30">
        <f t="shared" si="4"/>
        <v>65.3</v>
      </c>
      <c r="K134" s="350"/>
      <c r="L134" s="350"/>
      <c r="M134" s="209"/>
    </row>
    <row r="135" spans="1:18">
      <c r="A135" s="382" t="s">
        <v>61</v>
      </c>
      <c r="B135" s="382"/>
      <c r="C135" s="382"/>
      <c r="D135" s="263">
        <v>50.6</v>
      </c>
      <c r="E135" s="11">
        <v>0.67</v>
      </c>
      <c r="F135" s="12"/>
      <c r="G135" s="30">
        <f t="shared" si="3"/>
        <v>0</v>
      </c>
      <c r="I135" s="30">
        <f t="shared" si="4"/>
        <v>33.9</v>
      </c>
      <c r="K135" s="350"/>
      <c r="L135" s="350"/>
      <c r="M135" s="209"/>
    </row>
    <row r="136" spans="1:18">
      <c r="A136" s="382" t="s">
        <v>62</v>
      </c>
      <c r="B136" s="382"/>
      <c r="C136" s="382"/>
      <c r="D136" s="263">
        <v>53.3</v>
      </c>
      <c r="E136" s="11">
        <v>0.92</v>
      </c>
      <c r="F136" s="12"/>
      <c r="G136" s="30">
        <f t="shared" si="3"/>
        <v>0</v>
      </c>
      <c r="I136" s="30">
        <f t="shared" si="4"/>
        <v>49</v>
      </c>
      <c r="K136" s="350"/>
      <c r="L136" s="350"/>
      <c r="M136" s="209"/>
    </row>
    <row r="137" spans="1:18">
      <c r="A137" s="382" t="s">
        <v>63</v>
      </c>
      <c r="B137" s="382"/>
      <c r="C137" s="382"/>
      <c r="D137" s="263">
        <v>3.5</v>
      </c>
      <c r="E137" s="11">
        <v>1.1299999999999999</v>
      </c>
      <c r="F137" s="12"/>
      <c r="G137" s="30">
        <f t="shared" si="3"/>
        <v>0</v>
      </c>
      <c r="I137" s="30">
        <f t="shared" si="4"/>
        <v>4</v>
      </c>
      <c r="K137" s="350"/>
      <c r="L137" s="350"/>
      <c r="M137" s="209"/>
    </row>
    <row r="138" spans="1:18">
      <c r="A138" s="382" t="s">
        <v>64</v>
      </c>
      <c r="B138" s="382"/>
      <c r="C138" s="382"/>
      <c r="D138" s="263">
        <v>13.4</v>
      </c>
      <c r="E138" s="11">
        <v>1.71</v>
      </c>
      <c r="F138" s="12"/>
      <c r="G138" s="30">
        <f t="shared" si="3"/>
        <v>0</v>
      </c>
      <c r="I138" s="30">
        <f t="shared" si="4"/>
        <v>22.9</v>
      </c>
      <c r="K138" s="350"/>
      <c r="L138" s="350"/>
      <c r="M138" s="209"/>
    </row>
    <row r="139" spans="1:18">
      <c r="A139" s="382" t="s">
        <v>65</v>
      </c>
      <c r="B139" s="382"/>
      <c r="C139" s="382"/>
      <c r="D139" s="263">
        <v>11.4</v>
      </c>
      <c r="E139" s="11">
        <v>1.8</v>
      </c>
      <c r="F139" s="12"/>
      <c r="G139" s="30">
        <f t="shared" si="3"/>
        <v>0</v>
      </c>
      <c r="I139" s="30">
        <f t="shared" si="4"/>
        <v>20.5</v>
      </c>
      <c r="K139" s="350"/>
      <c r="L139" s="350"/>
      <c r="M139" s="209"/>
    </row>
    <row r="140" spans="1:18" ht="12.75" customHeight="1">
      <c r="A140" s="384" t="s">
        <v>66</v>
      </c>
      <c r="B140" s="402"/>
      <c r="C140" s="402"/>
      <c r="D140" s="143">
        <f>SUM(D130:D139)</f>
        <v>1529.5</v>
      </c>
      <c r="E140" s="351"/>
      <c r="F140" s="64">
        <f>+G140/D140</f>
        <v>0</v>
      </c>
      <c r="G140" s="58">
        <f>SUM(G130:G139)</f>
        <v>0</v>
      </c>
      <c r="I140" s="97">
        <f>SUM(I130:I139)</f>
        <v>535.20000000000005</v>
      </c>
      <c r="K140" s="352"/>
      <c r="L140" s="341"/>
      <c r="M140" s="8"/>
    </row>
    <row r="141" spans="1:18" ht="13.5" customHeight="1">
      <c r="A141" s="398" t="s">
        <v>156</v>
      </c>
      <c r="B141" s="402"/>
      <c r="C141" s="402"/>
      <c r="D141" s="402"/>
      <c r="E141" s="351"/>
      <c r="F141" s="32"/>
      <c r="G141" s="97">
        <f>+G140+G128</f>
        <v>0</v>
      </c>
      <c r="I141" s="97">
        <f>+I140+I128</f>
        <v>600.1</v>
      </c>
      <c r="K141" s="341"/>
      <c r="L141" s="341"/>
      <c r="M141" s="8"/>
    </row>
    <row r="142" spans="1:18" ht="15" customHeight="1">
      <c r="A142" s="353" t="s">
        <v>357</v>
      </c>
      <c r="B142" s="353"/>
      <c r="C142" s="353"/>
      <c r="D142" s="223"/>
      <c r="F142" s="17"/>
      <c r="G142" s="38"/>
      <c r="I142" s="9"/>
      <c r="K142" s="341"/>
      <c r="L142" s="341"/>
      <c r="M142" s="8"/>
    </row>
    <row r="143" spans="1:18" ht="15" customHeight="1">
      <c r="A143" s="353"/>
      <c r="B143" s="353"/>
      <c r="C143" s="353"/>
      <c r="D143" s="223"/>
      <c r="F143" s="17"/>
      <c r="G143" s="38"/>
      <c r="I143" s="9"/>
      <c r="K143" s="341"/>
      <c r="L143" s="341"/>
      <c r="M143" s="8"/>
    </row>
    <row r="144" spans="1:18">
      <c r="A144" s="417" t="s">
        <v>157</v>
      </c>
      <c r="B144" s="405"/>
      <c r="C144" s="405"/>
      <c r="D144" s="288"/>
      <c r="E144" s="85" t="s">
        <v>53</v>
      </c>
      <c r="F144" s="85" t="s">
        <v>50</v>
      </c>
      <c r="G144" s="99" t="s">
        <v>12</v>
      </c>
      <c r="K144" s="44"/>
      <c r="L144" s="341"/>
      <c r="M144" s="341"/>
      <c r="N144" s="341"/>
      <c r="O144" s="341"/>
      <c r="P144" s="341"/>
      <c r="Q144" s="341"/>
      <c r="R144" s="341"/>
    </row>
    <row r="145" spans="1:18">
      <c r="A145" s="382"/>
      <c r="B145" s="382"/>
      <c r="C145" s="382"/>
      <c r="D145" s="288" t="s">
        <v>13</v>
      </c>
      <c r="E145" s="85" t="s">
        <v>54</v>
      </c>
      <c r="F145" s="85" t="s">
        <v>11</v>
      </c>
      <c r="G145" s="99" t="s">
        <v>11</v>
      </c>
      <c r="I145" s="288" t="s">
        <v>51</v>
      </c>
      <c r="L145" s="8"/>
      <c r="M145" s="341"/>
      <c r="N145" s="341"/>
      <c r="O145" s="341"/>
      <c r="P145" s="341"/>
      <c r="Q145" s="341"/>
      <c r="R145" s="341"/>
    </row>
    <row r="146" spans="1:18">
      <c r="A146" s="388"/>
      <c r="B146" s="388"/>
      <c r="C146" s="388"/>
      <c r="D146" s="291" t="s">
        <v>52</v>
      </c>
      <c r="E146" s="86" t="s">
        <v>40</v>
      </c>
      <c r="F146" s="86" t="s">
        <v>40</v>
      </c>
      <c r="G146" s="100" t="s">
        <v>15</v>
      </c>
      <c r="I146" s="291" t="s">
        <v>86</v>
      </c>
      <c r="L146" s="8"/>
      <c r="M146" s="341"/>
      <c r="N146" s="341"/>
      <c r="O146" s="341"/>
      <c r="P146" s="341"/>
      <c r="Q146" s="341"/>
      <c r="R146" s="341"/>
    </row>
    <row r="147" spans="1:18">
      <c r="A147" s="421" t="s">
        <v>131</v>
      </c>
      <c r="B147" s="387"/>
      <c r="C147" s="387"/>
      <c r="D147" s="62"/>
      <c r="E147" s="354"/>
      <c r="F147" s="354"/>
      <c r="G147" s="355"/>
      <c r="L147" s="8"/>
      <c r="M147" s="341"/>
      <c r="N147" s="341"/>
      <c r="O147" s="341"/>
      <c r="P147" s="341"/>
      <c r="Q147" s="341"/>
      <c r="R147" s="341"/>
    </row>
    <row r="148" spans="1:18">
      <c r="A148" s="382" t="s">
        <v>68</v>
      </c>
      <c r="B148" s="382"/>
      <c r="C148" s="382"/>
      <c r="D148" s="263">
        <v>21.7</v>
      </c>
      <c r="E148" s="11">
        <v>3.81</v>
      </c>
      <c r="F148" s="12"/>
      <c r="G148" s="30">
        <f>ROUND(D148*F148,1)</f>
        <v>0</v>
      </c>
      <c r="I148" s="30">
        <f>ROUND(D148*E148,1)</f>
        <v>82.7</v>
      </c>
      <c r="L148" s="8"/>
      <c r="M148" s="341"/>
      <c r="N148" s="341"/>
      <c r="O148" s="341"/>
      <c r="P148" s="341"/>
      <c r="Q148" s="341"/>
      <c r="R148" s="341"/>
    </row>
    <row r="149" spans="1:18">
      <c r="A149" s="382" t="s">
        <v>57</v>
      </c>
      <c r="B149" s="382"/>
      <c r="C149" s="382"/>
      <c r="D149" s="263">
        <v>0.3</v>
      </c>
      <c r="E149" s="11">
        <v>5.15</v>
      </c>
      <c r="F149" s="12"/>
      <c r="G149" s="30">
        <f>ROUND(D149*F149,1)</f>
        <v>0</v>
      </c>
      <c r="I149" s="30">
        <f>ROUND(D149*E149,1)</f>
        <v>1.5</v>
      </c>
      <c r="L149" s="8"/>
      <c r="M149" s="341"/>
      <c r="N149" s="341"/>
      <c r="O149" s="341"/>
      <c r="P149" s="341"/>
      <c r="Q149" s="341"/>
      <c r="R149" s="341"/>
    </row>
    <row r="150" spans="1:18" ht="15.75">
      <c r="A150" s="388" t="s">
        <v>400</v>
      </c>
      <c r="B150" s="388"/>
      <c r="C150" s="388"/>
      <c r="D150" s="263">
        <v>44.5</v>
      </c>
      <c r="E150" s="11">
        <v>3.7</v>
      </c>
      <c r="F150" s="12"/>
      <c r="G150" s="30">
        <f>ROUND(D150*F150,1)</f>
        <v>0</v>
      </c>
      <c r="I150" s="30"/>
      <c r="L150" s="8"/>
      <c r="M150" s="341"/>
      <c r="N150" s="341"/>
      <c r="O150" s="341"/>
      <c r="P150" s="341"/>
      <c r="Q150" s="341"/>
      <c r="R150" s="341"/>
    </row>
    <row r="151" spans="1:18">
      <c r="A151" s="384" t="s">
        <v>69</v>
      </c>
      <c r="B151" s="402"/>
      <c r="C151" s="402"/>
      <c r="D151" s="58">
        <f>SUM(D148:D149)</f>
        <v>22</v>
      </c>
      <c r="E151" s="63"/>
      <c r="F151" s="64"/>
      <c r="G151" s="58">
        <f>SUM(G148:G150)</f>
        <v>0</v>
      </c>
      <c r="I151" s="97">
        <f>SUM(I148:I149)</f>
        <v>84.2</v>
      </c>
      <c r="L151" s="8"/>
      <c r="M151" s="341"/>
      <c r="N151" s="341"/>
      <c r="O151" s="341"/>
      <c r="P151" s="341"/>
      <c r="Q151" s="341"/>
      <c r="R151" s="341"/>
    </row>
    <row r="152" spans="1:18" ht="12.75" customHeight="1">
      <c r="A152" s="421" t="s">
        <v>106</v>
      </c>
      <c r="B152" s="387"/>
      <c r="C152" s="387"/>
      <c r="D152" s="203"/>
      <c r="E152" s="17"/>
      <c r="F152" s="65"/>
      <c r="G152" s="44"/>
      <c r="L152" s="8"/>
      <c r="M152" s="341"/>
      <c r="N152" s="341"/>
      <c r="O152" s="341"/>
      <c r="P152" s="341"/>
      <c r="Q152" s="341"/>
      <c r="R152" s="341"/>
    </row>
    <row r="153" spans="1:18" ht="12.75" customHeight="1">
      <c r="A153" s="382" t="s">
        <v>70</v>
      </c>
      <c r="B153" s="382"/>
      <c r="C153" s="382"/>
      <c r="D153" s="263">
        <v>21.5</v>
      </c>
      <c r="E153" s="11">
        <v>0</v>
      </c>
      <c r="F153" s="12"/>
      <c r="G153" s="30">
        <f t="shared" ref="G153:G162" si="5">ROUND(D153*F153,1)</f>
        <v>0</v>
      </c>
      <c r="I153" s="30">
        <f t="shared" ref="I153:I161" si="6">ROUND(D153*E153,1)</f>
        <v>0</v>
      </c>
      <c r="L153" s="8"/>
      <c r="M153" s="341"/>
      <c r="N153" s="341"/>
      <c r="O153" s="341"/>
      <c r="P153" s="341"/>
      <c r="Q153" s="341"/>
      <c r="R153" s="341"/>
    </row>
    <row r="154" spans="1:18">
      <c r="A154" s="382" t="s">
        <v>71</v>
      </c>
      <c r="B154" s="382"/>
      <c r="C154" s="382"/>
      <c r="D154" s="263">
        <v>53.6</v>
      </c>
      <c r="E154" s="11">
        <v>4.55</v>
      </c>
      <c r="F154" s="12"/>
      <c r="G154" s="30">
        <f t="shared" si="5"/>
        <v>0</v>
      </c>
      <c r="I154" s="30">
        <f t="shared" si="6"/>
        <v>243.9</v>
      </c>
      <c r="L154" s="8"/>
      <c r="M154" s="341"/>
      <c r="N154" s="341"/>
      <c r="O154" s="341"/>
      <c r="P154" s="341"/>
      <c r="Q154" s="341"/>
      <c r="R154" s="341"/>
    </row>
    <row r="155" spans="1:18">
      <c r="A155" s="382" t="s">
        <v>72</v>
      </c>
      <c r="B155" s="382"/>
      <c r="C155" s="382"/>
      <c r="D155" s="263">
        <v>17.7</v>
      </c>
      <c r="E155" s="11">
        <v>7.35</v>
      </c>
      <c r="F155" s="12"/>
      <c r="G155" s="30">
        <f t="shared" si="5"/>
        <v>0</v>
      </c>
      <c r="I155" s="30">
        <f t="shared" si="6"/>
        <v>130.1</v>
      </c>
      <c r="L155" s="8"/>
      <c r="M155" s="341"/>
      <c r="N155" s="341"/>
      <c r="O155" s="341"/>
      <c r="P155" s="341"/>
      <c r="Q155" s="341"/>
      <c r="R155" s="341"/>
    </row>
    <row r="156" spans="1:18">
      <c r="A156" s="382" t="s">
        <v>73</v>
      </c>
      <c r="B156" s="382"/>
      <c r="C156" s="382"/>
      <c r="D156" s="263">
        <v>7.2</v>
      </c>
      <c r="E156" s="11">
        <v>11.3</v>
      </c>
      <c r="F156" s="12"/>
      <c r="G156" s="30">
        <f t="shared" si="5"/>
        <v>0</v>
      </c>
      <c r="I156" s="30">
        <f t="shared" si="6"/>
        <v>81.400000000000006</v>
      </c>
      <c r="L156" s="8"/>
      <c r="M156" s="341"/>
      <c r="N156" s="341"/>
      <c r="O156" s="341"/>
      <c r="P156" s="341"/>
      <c r="Q156" s="341"/>
      <c r="R156" s="341"/>
    </row>
    <row r="157" spans="1:18">
      <c r="A157" s="382" t="s">
        <v>74</v>
      </c>
      <c r="B157" s="382"/>
      <c r="C157" s="382"/>
      <c r="D157" s="263">
        <v>0.8</v>
      </c>
      <c r="E157" s="11">
        <v>11.9</v>
      </c>
      <c r="F157" s="12"/>
      <c r="G157" s="30">
        <f t="shared" si="5"/>
        <v>0</v>
      </c>
      <c r="I157" s="30">
        <f t="shared" si="6"/>
        <v>9.5</v>
      </c>
      <c r="L157" s="8"/>
      <c r="M157" s="341"/>
      <c r="N157" s="341"/>
      <c r="O157" s="341"/>
      <c r="P157" s="341"/>
      <c r="Q157" s="341"/>
      <c r="R157" s="341"/>
    </row>
    <row r="158" spans="1:18">
      <c r="A158" s="382" t="s">
        <v>75</v>
      </c>
      <c r="B158" s="382"/>
      <c r="C158" s="382"/>
      <c r="D158" s="263">
        <v>2.9</v>
      </c>
      <c r="E158" s="11">
        <v>13.3</v>
      </c>
      <c r="F158" s="12"/>
      <c r="G158" s="30">
        <f t="shared" si="5"/>
        <v>0</v>
      </c>
      <c r="I158" s="30">
        <f t="shared" si="6"/>
        <v>38.6</v>
      </c>
      <c r="J158" s="356"/>
      <c r="L158" s="8"/>
      <c r="M158" s="341"/>
      <c r="N158" s="341"/>
      <c r="O158" s="341"/>
      <c r="P158" s="341"/>
      <c r="Q158" s="341"/>
      <c r="R158" s="341"/>
    </row>
    <row r="159" spans="1:18">
      <c r="A159" s="382" t="s">
        <v>76</v>
      </c>
      <c r="B159" s="382"/>
      <c r="C159" s="382"/>
      <c r="D159" s="263">
        <v>0.6</v>
      </c>
      <c r="E159" s="11">
        <v>13.8</v>
      </c>
      <c r="F159" s="12"/>
      <c r="G159" s="30">
        <f t="shared" si="5"/>
        <v>0</v>
      </c>
      <c r="I159" s="30">
        <f t="shared" si="6"/>
        <v>8.3000000000000007</v>
      </c>
      <c r="J159" s="356"/>
      <c r="L159" s="8"/>
      <c r="M159" s="341"/>
      <c r="N159" s="341"/>
      <c r="O159" s="341"/>
      <c r="P159" s="341"/>
      <c r="Q159" s="341"/>
      <c r="R159" s="341"/>
    </row>
    <row r="160" spans="1:18" ht="15.75">
      <c r="A160" s="382" t="s">
        <v>310</v>
      </c>
      <c r="B160" s="382"/>
      <c r="C160" s="382"/>
      <c r="D160" s="263">
        <v>8.8000000000000007</v>
      </c>
      <c r="E160" s="11">
        <v>1.1000000000000001</v>
      </c>
      <c r="F160" s="12"/>
      <c r="G160" s="30">
        <f t="shared" si="5"/>
        <v>0</v>
      </c>
      <c r="I160" s="30">
        <f t="shared" si="6"/>
        <v>9.6999999999999993</v>
      </c>
      <c r="J160" s="356"/>
      <c r="L160" s="8"/>
      <c r="M160" s="341"/>
      <c r="N160" s="341"/>
      <c r="O160" s="341"/>
      <c r="P160" s="341"/>
      <c r="Q160" s="341"/>
      <c r="R160" s="341"/>
    </row>
    <row r="161" spans="1:18">
      <c r="A161" s="382" t="s">
        <v>349</v>
      </c>
      <c r="B161" s="382"/>
      <c r="C161" s="382"/>
      <c r="D161" s="263">
        <v>7.6</v>
      </c>
      <c r="E161" s="11">
        <v>5.0999999999999996</v>
      </c>
      <c r="F161" s="12"/>
      <c r="G161" s="30">
        <f t="shared" si="5"/>
        <v>0</v>
      </c>
      <c r="I161" s="30">
        <f t="shared" si="6"/>
        <v>38.799999999999997</v>
      </c>
      <c r="L161" s="8"/>
      <c r="M161" s="341"/>
      <c r="N161" s="341"/>
      <c r="O161" s="341"/>
      <c r="P161" s="341"/>
      <c r="Q161" s="341"/>
      <c r="R161" s="341"/>
    </row>
    <row r="162" spans="1:18">
      <c r="A162" s="382" t="s">
        <v>350</v>
      </c>
      <c r="B162" s="382"/>
      <c r="C162" s="382"/>
      <c r="D162" s="263">
        <v>0.3</v>
      </c>
      <c r="E162" s="11">
        <v>5.4</v>
      </c>
      <c r="F162" s="12"/>
      <c r="G162" s="30">
        <f t="shared" si="5"/>
        <v>0</v>
      </c>
      <c r="I162" s="30"/>
      <c r="L162" s="8"/>
      <c r="M162" s="341"/>
      <c r="N162" s="341"/>
      <c r="O162" s="341"/>
      <c r="P162" s="341"/>
      <c r="Q162" s="341"/>
      <c r="R162" s="341"/>
    </row>
    <row r="163" spans="1:18" ht="15.75">
      <c r="A163" s="382" t="s">
        <v>312</v>
      </c>
      <c r="B163" s="382"/>
      <c r="C163" s="382"/>
      <c r="D163" s="263">
        <v>1.8</v>
      </c>
      <c r="E163" s="11">
        <v>0.2</v>
      </c>
      <c r="F163" s="12"/>
      <c r="G163" s="30">
        <f>ROUND(D163*F163,1)</f>
        <v>0</v>
      </c>
      <c r="I163" s="30">
        <f>ROUND(D163*E163,1)</f>
        <v>0.4</v>
      </c>
      <c r="L163" s="8"/>
      <c r="M163" s="341"/>
      <c r="N163" s="341"/>
      <c r="O163" s="341"/>
      <c r="P163" s="341"/>
      <c r="Q163" s="341"/>
      <c r="R163" s="341"/>
    </row>
    <row r="164" spans="1:18">
      <c r="A164" s="422" t="s">
        <v>77</v>
      </c>
      <c r="B164" s="422"/>
      <c r="C164" s="422"/>
      <c r="D164" s="58">
        <f>SUM(D153:D163)</f>
        <v>122.79999999999998</v>
      </c>
      <c r="E164" s="43"/>
      <c r="F164" s="43"/>
      <c r="G164" s="58">
        <f>SUM(G153:G163)</f>
        <v>0</v>
      </c>
      <c r="I164" s="97">
        <f>SUM(I153:I163)</f>
        <v>560.69999999999993</v>
      </c>
      <c r="L164" s="8"/>
      <c r="M164" s="341"/>
      <c r="N164" s="341"/>
      <c r="O164" s="341"/>
      <c r="P164" s="341"/>
      <c r="Q164" s="341"/>
      <c r="R164" s="341"/>
    </row>
    <row r="165" spans="1:18">
      <c r="A165" s="423" t="s">
        <v>196</v>
      </c>
      <c r="B165" s="397"/>
      <c r="C165" s="397"/>
      <c r="D165" s="31"/>
      <c r="E165" s="55"/>
      <c r="F165" s="43"/>
      <c r="G165" s="97">
        <f>G151+G164</f>
        <v>0</v>
      </c>
      <c r="I165" s="97">
        <f>I151+I164</f>
        <v>644.9</v>
      </c>
      <c r="L165" s="8"/>
      <c r="M165" s="341"/>
      <c r="N165" s="341"/>
      <c r="O165" s="341"/>
      <c r="P165" s="341"/>
      <c r="Q165" s="341"/>
      <c r="R165" s="341"/>
    </row>
    <row r="166" spans="1:18" ht="14.45" customHeight="1">
      <c r="A166" s="382" t="s">
        <v>311</v>
      </c>
      <c r="B166" s="407"/>
      <c r="C166" s="407"/>
      <c r="D166" s="407"/>
      <c r="E166" s="407"/>
      <c r="F166" s="36"/>
      <c r="G166" s="44"/>
      <c r="I166" s="17"/>
      <c r="L166" s="8"/>
      <c r="M166" s="341"/>
      <c r="N166" s="341"/>
      <c r="O166" s="341"/>
      <c r="P166" s="341"/>
      <c r="Q166" s="341"/>
      <c r="R166" s="341"/>
    </row>
    <row r="167" spans="1:18" ht="14.45" customHeight="1">
      <c r="A167" s="382"/>
      <c r="B167" s="407"/>
      <c r="C167" s="407"/>
      <c r="D167" s="407"/>
      <c r="E167" s="407"/>
      <c r="F167" s="36"/>
      <c r="G167" s="44"/>
      <c r="I167" s="17"/>
      <c r="L167" s="8"/>
      <c r="M167" s="341"/>
      <c r="N167" s="341"/>
      <c r="O167" s="341"/>
      <c r="P167" s="341"/>
      <c r="Q167" s="341"/>
      <c r="R167" s="341"/>
    </row>
    <row r="168" spans="1:18" ht="16.5" customHeight="1">
      <c r="A168" s="417" t="s">
        <v>197</v>
      </c>
      <c r="B168" s="405"/>
      <c r="C168" s="405"/>
      <c r="D168" s="405"/>
      <c r="E168" s="85" t="s">
        <v>53</v>
      </c>
      <c r="F168" s="85" t="s">
        <v>50</v>
      </c>
      <c r="G168" s="99" t="s">
        <v>12</v>
      </c>
      <c r="K168" s="9"/>
      <c r="L168" s="341"/>
      <c r="M168" s="341"/>
      <c r="N168" s="341"/>
      <c r="O168" s="341"/>
      <c r="P168" s="341"/>
      <c r="Q168" s="341"/>
      <c r="R168" s="341"/>
    </row>
    <row r="169" spans="1:18">
      <c r="A169" s="419"/>
      <c r="B169" s="405"/>
      <c r="C169" s="405"/>
      <c r="D169" s="288" t="s">
        <v>13</v>
      </c>
      <c r="E169" s="85" t="s">
        <v>54</v>
      </c>
      <c r="F169" s="85" t="s">
        <v>11</v>
      </c>
      <c r="G169" s="99" t="s">
        <v>11</v>
      </c>
      <c r="I169" s="288" t="s">
        <v>51</v>
      </c>
      <c r="K169" s="9"/>
      <c r="L169" s="341"/>
      <c r="M169" s="341"/>
      <c r="N169" s="341"/>
      <c r="O169" s="341"/>
      <c r="P169" s="341"/>
      <c r="Q169" s="341"/>
      <c r="R169" s="341"/>
    </row>
    <row r="170" spans="1:18">
      <c r="A170" s="418"/>
      <c r="B170" s="397"/>
      <c r="C170" s="397"/>
      <c r="D170" s="291" t="s">
        <v>52</v>
      </c>
      <c r="E170" s="86" t="s">
        <v>40</v>
      </c>
      <c r="F170" s="86" t="s">
        <v>40</v>
      </c>
      <c r="G170" s="100" t="s">
        <v>15</v>
      </c>
      <c r="I170" s="291" t="s">
        <v>86</v>
      </c>
      <c r="K170" s="9"/>
      <c r="L170" s="341"/>
      <c r="M170" s="341"/>
      <c r="N170" s="341"/>
      <c r="O170" s="341"/>
      <c r="P170" s="341"/>
      <c r="Q170" s="341"/>
      <c r="R170" s="341"/>
    </row>
    <row r="171" spans="1:18">
      <c r="A171" s="382" t="s">
        <v>164</v>
      </c>
      <c r="B171" s="383"/>
      <c r="C171" s="383"/>
      <c r="D171" s="263">
        <v>5.6</v>
      </c>
      <c r="E171" s="11">
        <v>0.45</v>
      </c>
      <c r="F171" s="12"/>
      <c r="G171" s="30">
        <f>ROUND(D171*F171,1)</f>
        <v>0</v>
      </c>
      <c r="I171" s="30">
        <f>ROUND(D171*E171,1)</f>
        <v>2.5</v>
      </c>
      <c r="K171" s="9"/>
    </row>
    <row r="172" spans="1:18">
      <c r="A172" s="382" t="s">
        <v>107</v>
      </c>
      <c r="B172" s="383"/>
      <c r="C172" s="383"/>
      <c r="D172" s="224">
        <v>13</v>
      </c>
      <c r="E172" s="11">
        <v>0.22</v>
      </c>
      <c r="F172" s="12"/>
      <c r="G172" s="30">
        <f>ROUND(D172*F172,1)</f>
        <v>0</v>
      </c>
      <c r="I172" s="30">
        <f>ROUND(D172*E172,1)</f>
        <v>2.9</v>
      </c>
      <c r="J172" s="17"/>
      <c r="K172" s="9"/>
    </row>
    <row r="173" spans="1:18">
      <c r="A173" s="382" t="s">
        <v>192</v>
      </c>
      <c r="B173" s="383"/>
      <c r="C173" s="383"/>
      <c r="D173" s="263">
        <v>2.2999999999999998</v>
      </c>
      <c r="E173" s="11">
        <v>1.05</v>
      </c>
      <c r="F173" s="12">
        <v>0.15</v>
      </c>
      <c r="G173" s="30">
        <f>ROUND(D173*F173,1)</f>
        <v>0.3</v>
      </c>
      <c r="I173" s="30">
        <f>ROUND(D173*E173,1)</f>
        <v>2.4</v>
      </c>
      <c r="K173" s="9"/>
    </row>
    <row r="174" spans="1:18">
      <c r="A174" s="384" t="s">
        <v>195</v>
      </c>
      <c r="B174" s="385"/>
      <c r="C174" s="385"/>
      <c r="D174" s="32"/>
      <c r="E174" s="43"/>
      <c r="F174" s="43"/>
      <c r="G174" s="97">
        <f>SUM(G171:G173)</f>
        <v>0.3</v>
      </c>
      <c r="I174" s="97">
        <f>SUM(I171:I173)</f>
        <v>7.8000000000000007</v>
      </c>
      <c r="K174" s="9"/>
    </row>
    <row r="175" spans="1:18">
      <c r="K175" s="9"/>
    </row>
    <row r="176" spans="1:18">
      <c r="A176" s="419" t="s">
        <v>207</v>
      </c>
      <c r="B176" s="405"/>
      <c r="C176" s="405"/>
      <c r="D176" s="288" t="s">
        <v>13</v>
      </c>
      <c r="E176" s="62"/>
      <c r="F176" s="82"/>
      <c r="G176" s="284" t="s">
        <v>18</v>
      </c>
      <c r="K176" s="9"/>
    </row>
    <row r="177" spans="1:13" ht="25.5">
      <c r="A177" s="418"/>
      <c r="B177" s="397"/>
      <c r="C177" s="397"/>
      <c r="D177" s="291" t="s">
        <v>0</v>
      </c>
      <c r="E177" s="357" t="s">
        <v>358</v>
      </c>
      <c r="F177" s="86"/>
      <c r="G177" s="100" t="s">
        <v>0</v>
      </c>
      <c r="K177" s="9"/>
    </row>
    <row r="178" spans="1:13">
      <c r="A178" s="382" t="s">
        <v>346</v>
      </c>
      <c r="B178" s="383"/>
      <c r="C178" s="383"/>
      <c r="D178" s="224">
        <v>85.5</v>
      </c>
      <c r="E178" s="11"/>
      <c r="F178" s="12"/>
      <c r="G178" s="30"/>
      <c r="K178" s="9"/>
    </row>
    <row r="179" spans="1:13">
      <c r="A179" s="382" t="s">
        <v>345</v>
      </c>
      <c r="B179" s="383"/>
      <c r="C179" s="383"/>
      <c r="D179" s="224">
        <v>119</v>
      </c>
      <c r="E179" s="11"/>
      <c r="F179" s="12"/>
      <c r="G179" s="30"/>
      <c r="J179" s="358"/>
      <c r="K179" s="9"/>
      <c r="M179" s="8"/>
    </row>
    <row r="180" spans="1:13">
      <c r="A180" s="382" t="s">
        <v>208</v>
      </c>
      <c r="B180" s="383"/>
      <c r="C180" s="383"/>
      <c r="D180" s="224">
        <v>130</v>
      </c>
      <c r="E180" s="11"/>
      <c r="F180" s="12"/>
      <c r="G180" s="30"/>
      <c r="J180" s="358"/>
      <c r="K180" s="9"/>
    </row>
    <row r="181" spans="1:13">
      <c r="A181" s="382" t="s">
        <v>209</v>
      </c>
      <c r="B181" s="383"/>
      <c r="C181" s="383"/>
      <c r="D181" s="224">
        <v>8</v>
      </c>
      <c r="E181" s="11"/>
      <c r="F181" s="12"/>
      <c r="G181" s="30"/>
      <c r="J181" s="359"/>
      <c r="K181" s="9"/>
    </row>
    <row r="182" spans="1:13">
      <c r="A182" s="384" t="s">
        <v>165</v>
      </c>
      <c r="B182" s="385"/>
      <c r="C182" s="385"/>
      <c r="D182" s="225">
        <f>SUM(D178:D181)</f>
        <v>342.5</v>
      </c>
      <c r="E182" s="43"/>
      <c r="F182" s="43"/>
      <c r="G182" s="97">
        <f>SUM(G178:G181)</f>
        <v>0</v>
      </c>
      <c r="J182" s="359"/>
      <c r="K182" s="9"/>
    </row>
    <row r="183" spans="1:13">
      <c r="K183" s="9"/>
    </row>
    <row r="184" spans="1:13">
      <c r="A184" s="419" t="s">
        <v>199</v>
      </c>
      <c r="B184" s="405"/>
      <c r="C184" s="405"/>
      <c r="D184" s="405"/>
      <c r="E184" s="17"/>
      <c r="F184" s="36"/>
      <c r="G184" s="36"/>
      <c r="K184" s="9"/>
    </row>
    <row r="185" spans="1:13">
      <c r="A185" s="408"/>
      <c r="B185" s="405"/>
      <c r="C185" s="405"/>
      <c r="D185" s="288" t="s">
        <v>13</v>
      </c>
      <c r="E185" s="288" t="s">
        <v>47</v>
      </c>
      <c r="F185" s="85" t="s">
        <v>18</v>
      </c>
      <c r="G185" s="85" t="s">
        <v>18</v>
      </c>
      <c r="I185" s="288" t="s">
        <v>51</v>
      </c>
      <c r="K185" s="9"/>
      <c r="L185" s="8"/>
      <c r="M185" s="8"/>
    </row>
    <row r="186" spans="1:13">
      <c r="A186" s="388"/>
      <c r="B186" s="397"/>
      <c r="C186" s="397"/>
      <c r="D186" s="291" t="s">
        <v>39</v>
      </c>
      <c r="E186" s="291" t="s">
        <v>40</v>
      </c>
      <c r="F186" s="86" t="s">
        <v>40</v>
      </c>
      <c r="G186" s="86" t="s">
        <v>0</v>
      </c>
      <c r="I186" s="291" t="s">
        <v>86</v>
      </c>
      <c r="K186" s="9"/>
      <c r="L186" s="8"/>
      <c r="M186" s="8"/>
    </row>
    <row r="187" spans="1:13">
      <c r="A187" s="408" t="s">
        <v>309</v>
      </c>
      <c r="B187" s="405"/>
      <c r="C187" s="405"/>
      <c r="D187" s="257">
        <v>975</v>
      </c>
      <c r="E187" s="258">
        <v>0.41799999999999998</v>
      </c>
      <c r="F187" s="12">
        <v>0.05</v>
      </c>
      <c r="G187" s="30">
        <f>ROUND(D187*F187,1)</f>
        <v>48.8</v>
      </c>
      <c r="I187" s="30">
        <f t="shared" ref="I187:I192" si="7">ROUND(D187*E187,1)</f>
        <v>407.6</v>
      </c>
      <c r="K187" s="9"/>
    </row>
    <row r="188" spans="1:13" ht="15.75">
      <c r="A188" s="408" t="s">
        <v>390</v>
      </c>
      <c r="B188" s="405"/>
      <c r="C188" s="405"/>
      <c r="D188" s="259">
        <v>10</v>
      </c>
      <c r="E188" s="260">
        <v>0.98</v>
      </c>
      <c r="F188" s="12">
        <v>0.05</v>
      </c>
      <c r="G188" s="30">
        <f>ROUND(D188*F188,1)</f>
        <v>0.5</v>
      </c>
      <c r="I188" s="30">
        <f t="shared" si="7"/>
        <v>9.8000000000000007</v>
      </c>
      <c r="K188" s="9"/>
    </row>
    <row r="189" spans="1:13">
      <c r="A189" s="408" t="s">
        <v>308</v>
      </c>
      <c r="B189" s="405"/>
      <c r="C189" s="405"/>
      <c r="D189" s="261">
        <v>8</v>
      </c>
      <c r="E189" s="136">
        <v>1.87</v>
      </c>
      <c r="F189" s="12">
        <v>0.05</v>
      </c>
      <c r="G189" s="360">
        <f>+D189*F189</f>
        <v>0.4</v>
      </c>
      <c r="I189" s="30">
        <f t="shared" si="7"/>
        <v>15</v>
      </c>
      <c r="K189" s="9"/>
    </row>
    <row r="190" spans="1:13" ht="15">
      <c r="A190" s="408" t="s">
        <v>305</v>
      </c>
      <c r="B190" s="405"/>
      <c r="C190" s="405"/>
      <c r="D190" s="262">
        <v>0</v>
      </c>
      <c r="E190" s="260">
        <v>2.68</v>
      </c>
      <c r="F190" s="12">
        <v>0.05</v>
      </c>
      <c r="G190" s="360">
        <f>+D190*F190</f>
        <v>0</v>
      </c>
      <c r="I190" s="30">
        <f t="shared" si="7"/>
        <v>0</v>
      </c>
      <c r="K190" s="9"/>
    </row>
    <row r="191" spans="1:13">
      <c r="A191" s="408" t="s">
        <v>306</v>
      </c>
      <c r="B191" s="405"/>
      <c r="C191" s="405"/>
      <c r="D191" s="261">
        <v>1</v>
      </c>
      <c r="E191" s="260">
        <v>0.8</v>
      </c>
      <c r="F191" s="12">
        <v>0.05</v>
      </c>
      <c r="G191" s="30">
        <f>+D191*F191</f>
        <v>0.05</v>
      </c>
      <c r="I191" s="30">
        <f t="shared" si="7"/>
        <v>0.8</v>
      </c>
      <c r="K191" s="9"/>
    </row>
    <row r="192" spans="1:13">
      <c r="A192" s="408" t="s">
        <v>307</v>
      </c>
      <c r="B192" s="405"/>
      <c r="C192" s="405"/>
      <c r="D192" s="259">
        <v>0</v>
      </c>
      <c r="E192" s="260">
        <v>1.45</v>
      </c>
      <c r="F192" s="12">
        <v>0.05</v>
      </c>
      <c r="G192" s="30">
        <f>+D192*F192</f>
        <v>0</v>
      </c>
      <c r="I192" s="30">
        <f t="shared" si="7"/>
        <v>0</v>
      </c>
      <c r="K192" s="9"/>
    </row>
    <row r="193" spans="1:13">
      <c r="A193" s="384" t="s">
        <v>165</v>
      </c>
      <c r="B193" s="420"/>
      <c r="C193" s="420"/>
      <c r="D193" s="97">
        <f>SUM(D187:D192)</f>
        <v>994</v>
      </c>
      <c r="E193" s="32"/>
      <c r="F193" s="43"/>
      <c r="G193" s="103">
        <f>SUM(G187:G192)</f>
        <v>49.749999999999993</v>
      </c>
      <c r="I193" s="103">
        <f>SUM(I187:I192)</f>
        <v>433.20000000000005</v>
      </c>
      <c r="K193" s="9"/>
      <c r="L193" s="8"/>
      <c r="M193" s="8"/>
    </row>
    <row r="194" spans="1:13">
      <c r="A194" s="386"/>
      <c r="B194" s="393"/>
      <c r="C194" s="393"/>
      <c r="D194" s="393"/>
      <c r="E194" s="393"/>
      <c r="F194" s="393"/>
      <c r="G194" s="393"/>
      <c r="I194" s="83"/>
      <c r="K194" s="9"/>
      <c r="L194" s="8"/>
      <c r="M194" s="8"/>
    </row>
    <row r="195" spans="1:13">
      <c r="K195" s="9"/>
      <c r="L195" s="8"/>
      <c r="M195" s="8"/>
    </row>
    <row r="196" spans="1:13">
      <c r="A196" s="419" t="s">
        <v>205</v>
      </c>
      <c r="B196" s="405"/>
      <c r="C196" s="405"/>
      <c r="D196" s="405"/>
      <c r="E196" s="405"/>
      <c r="K196" s="9"/>
      <c r="L196" s="8"/>
      <c r="M196" s="8"/>
    </row>
    <row r="197" spans="1:13">
      <c r="A197" s="408"/>
      <c r="B197" s="405"/>
      <c r="C197" s="405"/>
      <c r="D197" s="288" t="s">
        <v>13</v>
      </c>
      <c r="E197" s="288" t="s">
        <v>47</v>
      </c>
      <c r="F197" s="85" t="s">
        <v>18</v>
      </c>
      <c r="G197" s="85" t="s">
        <v>18</v>
      </c>
      <c r="K197" s="9"/>
      <c r="L197" s="8"/>
      <c r="M197" s="8"/>
    </row>
    <row r="198" spans="1:13">
      <c r="A198" s="388"/>
      <c r="B198" s="388"/>
      <c r="C198" s="388"/>
      <c r="D198" s="291" t="s">
        <v>39</v>
      </c>
      <c r="E198" s="291" t="s">
        <v>40</v>
      </c>
      <c r="F198" s="86" t="s">
        <v>40</v>
      </c>
      <c r="G198" s="86" t="s">
        <v>0</v>
      </c>
      <c r="K198" s="9"/>
      <c r="L198" s="8"/>
      <c r="M198" s="8"/>
    </row>
    <row r="199" spans="1:13">
      <c r="A199" s="384" t="s">
        <v>375</v>
      </c>
      <c r="B199" s="384"/>
      <c r="C199" s="384"/>
      <c r="D199" s="226">
        <v>187</v>
      </c>
      <c r="E199" s="361">
        <v>0.26</v>
      </c>
      <c r="F199" s="124">
        <v>0</v>
      </c>
      <c r="G199" s="103">
        <f>+D199*F199</f>
        <v>0</v>
      </c>
      <c r="I199" s="103">
        <f>ROUND(D199*E199,1)</f>
        <v>48.6</v>
      </c>
      <c r="K199" s="9"/>
      <c r="L199" s="8"/>
      <c r="M199" s="8"/>
    </row>
    <row r="200" spans="1:13" hidden="1">
      <c r="A200" s="32" t="s">
        <v>376</v>
      </c>
      <c r="B200" s="32"/>
      <c r="C200" s="32"/>
      <c r="D200" s="362" t="e">
        <f>+D199-#REF!</f>
        <v>#REF!</v>
      </c>
      <c r="E200" s="32"/>
      <c r="F200" s="32">
        <v>-0.25</v>
      </c>
      <c r="G200" s="143" t="e">
        <f>+D200*F200</f>
        <v>#REF!</v>
      </c>
      <c r="K200" s="9"/>
      <c r="L200" s="8"/>
      <c r="M200" s="8"/>
    </row>
    <row r="201" spans="1:13" hidden="1">
      <c r="A201" s="391" t="s">
        <v>205</v>
      </c>
      <c r="B201" s="392"/>
      <c r="C201" s="392"/>
      <c r="D201" s="392"/>
      <c r="E201" s="392"/>
      <c r="F201" s="8"/>
      <c r="G201" s="8"/>
      <c r="L201" s="8"/>
      <c r="M201" s="8"/>
    </row>
    <row r="202" spans="1:13" hidden="1">
      <c r="A202" s="386"/>
      <c r="B202" s="387"/>
      <c r="C202" s="387"/>
      <c r="D202" s="235" t="s">
        <v>13</v>
      </c>
      <c r="E202" s="235" t="s">
        <v>47</v>
      </c>
      <c r="F202" s="272" t="s">
        <v>18</v>
      </c>
      <c r="G202" s="272" t="s">
        <v>18</v>
      </c>
      <c r="H202" s="272" t="s">
        <v>355</v>
      </c>
      <c r="L202" s="8"/>
      <c r="M202" s="8"/>
    </row>
    <row r="203" spans="1:13" hidden="1">
      <c r="A203" s="388"/>
      <c r="B203" s="388"/>
      <c r="C203" s="388"/>
      <c r="D203" s="291" t="s">
        <v>39</v>
      </c>
      <c r="E203" s="291" t="s">
        <v>40</v>
      </c>
      <c r="F203" s="86" t="s">
        <v>40</v>
      </c>
      <c r="G203" s="86" t="s">
        <v>0</v>
      </c>
      <c r="H203" s="86" t="s">
        <v>0</v>
      </c>
    </row>
    <row r="204" spans="1:13" hidden="1">
      <c r="A204" s="390" t="s">
        <v>206</v>
      </c>
      <c r="B204" s="390"/>
      <c r="C204" s="390"/>
      <c r="D204" s="59">
        <v>344</v>
      </c>
      <c r="E204" s="363">
        <v>0.14000000000000001</v>
      </c>
      <c r="F204" s="220">
        <v>0</v>
      </c>
      <c r="G204" s="364">
        <f>+$D$204*F204</f>
        <v>0</v>
      </c>
      <c r="H204" s="364">
        <f>ROUND($D$204*$E$204+G204,1)</f>
        <v>48.2</v>
      </c>
    </row>
    <row r="205" spans="1:13" hidden="1">
      <c r="A205" s="278"/>
      <c r="B205" s="278"/>
      <c r="C205" s="278"/>
      <c r="D205" s="59"/>
      <c r="E205" s="363"/>
      <c r="F205" s="220">
        <v>0.05</v>
      </c>
      <c r="G205" s="364">
        <f t="shared" ref="G205:G210" si="8">+$D$204*F205</f>
        <v>17.2</v>
      </c>
      <c r="H205" s="364">
        <f t="shared" ref="H205:H210" si="9">ROUND($D$204*$E$204+G205,1)</f>
        <v>65.400000000000006</v>
      </c>
    </row>
    <row r="206" spans="1:13" hidden="1">
      <c r="A206" s="390"/>
      <c r="B206" s="390"/>
      <c r="C206" s="390"/>
      <c r="D206" s="59"/>
      <c r="E206" s="363"/>
      <c r="F206" s="220">
        <v>0.1</v>
      </c>
      <c r="G206" s="364">
        <f t="shared" si="8"/>
        <v>34.4</v>
      </c>
      <c r="H206" s="364">
        <f t="shared" si="9"/>
        <v>82.6</v>
      </c>
    </row>
    <row r="207" spans="1:13" hidden="1">
      <c r="A207" s="390"/>
      <c r="B207" s="390"/>
      <c r="C207" s="390"/>
      <c r="D207" s="59"/>
      <c r="E207" s="363"/>
      <c r="F207" s="220">
        <v>0.2</v>
      </c>
      <c r="G207" s="364">
        <f t="shared" si="8"/>
        <v>68.8</v>
      </c>
      <c r="H207" s="364">
        <f t="shared" si="9"/>
        <v>117</v>
      </c>
    </row>
    <row r="208" spans="1:13" hidden="1">
      <c r="A208" s="390"/>
      <c r="B208" s="390"/>
      <c r="C208" s="390"/>
      <c r="D208" s="59"/>
      <c r="E208" s="363"/>
      <c r="F208" s="220">
        <v>0.3</v>
      </c>
      <c r="G208" s="364">
        <f t="shared" si="8"/>
        <v>103.2</v>
      </c>
      <c r="H208" s="364">
        <f t="shared" si="9"/>
        <v>151.4</v>
      </c>
    </row>
    <row r="209" spans="1:8" hidden="1">
      <c r="A209" s="390"/>
      <c r="B209" s="390"/>
      <c r="C209" s="390"/>
      <c r="D209" s="59"/>
      <c r="E209" s="363"/>
      <c r="F209" s="220">
        <v>0.4</v>
      </c>
      <c r="G209" s="364">
        <f t="shared" si="8"/>
        <v>137.6</v>
      </c>
      <c r="H209" s="364">
        <f t="shared" si="9"/>
        <v>185.8</v>
      </c>
    </row>
    <row r="210" spans="1:8" hidden="1">
      <c r="A210" s="389"/>
      <c r="B210" s="389"/>
      <c r="C210" s="389"/>
      <c r="D210" s="221"/>
      <c r="E210" s="365"/>
      <c r="F210" s="222">
        <v>0.5</v>
      </c>
      <c r="G210" s="366">
        <f t="shared" si="8"/>
        <v>172</v>
      </c>
      <c r="H210" s="366">
        <f t="shared" si="9"/>
        <v>220.2</v>
      </c>
    </row>
    <row r="211" spans="1:8" ht="18" customHeight="1">
      <c r="A211" s="278"/>
      <c r="B211" s="278"/>
      <c r="C211" s="278"/>
      <c r="D211" s="59"/>
      <c r="E211" s="363"/>
      <c r="F211" s="220"/>
      <c r="G211" s="364"/>
      <c r="H211" s="364"/>
    </row>
  </sheetData>
  <mergeCells count="183">
    <mergeCell ref="A166:E166"/>
    <mergeCell ref="A167:E167"/>
    <mergeCell ref="A150:C150"/>
    <mergeCell ref="A87:H87"/>
    <mergeCell ref="A112:C112"/>
    <mergeCell ref="A93:C93"/>
    <mergeCell ref="A104:C104"/>
    <mergeCell ref="A105:C105"/>
    <mergeCell ref="A108:D108"/>
    <mergeCell ref="A114:C114"/>
    <mergeCell ref="A95:C95"/>
    <mergeCell ref="A103:C103"/>
    <mergeCell ref="A96:C96"/>
    <mergeCell ref="A111:C111"/>
    <mergeCell ref="A98:C98"/>
    <mergeCell ref="A101:C101"/>
    <mergeCell ref="A100:C100"/>
    <mergeCell ref="A102:C102"/>
    <mergeCell ref="A110:C110"/>
    <mergeCell ref="A113:C113"/>
    <mergeCell ref="A115:C115"/>
    <mergeCell ref="A88:H88"/>
    <mergeCell ref="A162:C162"/>
    <mergeCell ref="A125:C125"/>
    <mergeCell ref="A121:C121"/>
    <mergeCell ref="A122:C122"/>
    <mergeCell ref="A128:C128"/>
    <mergeCell ref="A161:C161"/>
    <mergeCell ref="A120:D120"/>
    <mergeCell ref="A160:C160"/>
    <mergeCell ref="A147:C147"/>
    <mergeCell ref="A146:C146"/>
    <mergeCell ref="A154:C154"/>
    <mergeCell ref="A155:C155"/>
    <mergeCell ref="A144:C144"/>
    <mergeCell ref="A123:C123"/>
    <mergeCell ref="A126:C126"/>
    <mergeCell ref="A127:C127"/>
    <mergeCell ref="A133:C133"/>
    <mergeCell ref="A159:C159"/>
    <mergeCell ref="A149:C149"/>
    <mergeCell ref="A140:C140"/>
    <mergeCell ref="A141:D141"/>
    <mergeCell ref="A138:C138"/>
    <mergeCell ref="A129:C129"/>
    <mergeCell ref="A132:C132"/>
    <mergeCell ref="A163:C163"/>
    <mergeCell ref="A145:C145"/>
    <mergeCell ref="A152:C152"/>
    <mergeCell ref="A158:C158"/>
    <mergeCell ref="A148:C148"/>
    <mergeCell ref="A164:C164"/>
    <mergeCell ref="A165:C165"/>
    <mergeCell ref="B84:F84"/>
    <mergeCell ref="B85:F85"/>
    <mergeCell ref="A109:C109"/>
    <mergeCell ref="A99:C99"/>
    <mergeCell ref="A136:C136"/>
    <mergeCell ref="A151:C151"/>
    <mergeCell ref="A153:C153"/>
    <mergeCell ref="A157:C157"/>
    <mergeCell ref="A156:C156"/>
    <mergeCell ref="A137:C137"/>
    <mergeCell ref="A134:C134"/>
    <mergeCell ref="A135:C135"/>
    <mergeCell ref="A130:C130"/>
    <mergeCell ref="A131:C131"/>
    <mergeCell ref="A94:C94"/>
    <mergeCell ref="A97:C97"/>
    <mergeCell ref="A139:C139"/>
    <mergeCell ref="A168:D168"/>
    <mergeCell ref="A199:C199"/>
    <mergeCell ref="A171:C171"/>
    <mergeCell ref="A191:C191"/>
    <mergeCell ref="A173:C173"/>
    <mergeCell ref="A177:C177"/>
    <mergeCell ref="A198:C198"/>
    <mergeCell ref="A197:C197"/>
    <mergeCell ref="A189:C189"/>
    <mergeCell ref="A190:C190"/>
    <mergeCell ref="A192:C192"/>
    <mergeCell ref="A188:C188"/>
    <mergeCell ref="A185:C185"/>
    <mergeCell ref="A172:C172"/>
    <mergeCell ref="A196:E196"/>
    <mergeCell ref="A193:C193"/>
    <mergeCell ref="A169:C169"/>
    <mergeCell ref="A174:C174"/>
    <mergeCell ref="A176:C176"/>
    <mergeCell ref="A187:C187"/>
    <mergeCell ref="A186:C186"/>
    <mergeCell ref="A184:D184"/>
    <mergeCell ref="A170:C170"/>
    <mergeCell ref="A178:C178"/>
    <mergeCell ref="A46:F46"/>
    <mergeCell ref="B65:F65"/>
    <mergeCell ref="B58:F58"/>
    <mergeCell ref="B61:F61"/>
    <mergeCell ref="B59:F59"/>
    <mergeCell ref="B60:F60"/>
    <mergeCell ref="A86:F86"/>
    <mergeCell ref="B83:F83"/>
    <mergeCell ref="B77:F77"/>
    <mergeCell ref="B68:F68"/>
    <mergeCell ref="B78:F78"/>
    <mergeCell ref="B63:F63"/>
    <mergeCell ref="B81:F81"/>
    <mergeCell ref="B82:F82"/>
    <mergeCell ref="B66:F66"/>
    <mergeCell ref="B76:F76"/>
    <mergeCell ref="B80:F80"/>
    <mergeCell ref="B64:F64"/>
    <mergeCell ref="B79:F79"/>
    <mergeCell ref="B71:F71"/>
    <mergeCell ref="B73:F73"/>
    <mergeCell ref="B70:F70"/>
    <mergeCell ref="B74:F74"/>
    <mergeCell ref="B75:F75"/>
    <mergeCell ref="B53:F53"/>
    <mergeCell ref="B55:F55"/>
    <mergeCell ref="B56:F56"/>
    <mergeCell ref="B51:F51"/>
    <mergeCell ref="B50:F50"/>
    <mergeCell ref="B48:F48"/>
    <mergeCell ref="B62:F62"/>
    <mergeCell ref="B72:F72"/>
    <mergeCell ref="B67:F67"/>
    <mergeCell ref="B57:F57"/>
    <mergeCell ref="B52:F52"/>
    <mergeCell ref="B69:F69"/>
    <mergeCell ref="B54:F54"/>
    <mergeCell ref="B14:F14"/>
    <mergeCell ref="B15:F15"/>
    <mergeCell ref="B16:F16"/>
    <mergeCell ref="A28:B28"/>
    <mergeCell ref="A27:B27"/>
    <mergeCell ref="A29:B29"/>
    <mergeCell ref="A43:F43"/>
    <mergeCell ref="A30:F30"/>
    <mergeCell ref="A31:H31"/>
    <mergeCell ref="B40:F40"/>
    <mergeCell ref="B41:F41"/>
    <mergeCell ref="B33:F33"/>
    <mergeCell ref="B39:F39"/>
    <mergeCell ref="A32:F32"/>
    <mergeCell ref="A5:H5"/>
    <mergeCell ref="A6:H6"/>
    <mergeCell ref="A22:B22"/>
    <mergeCell ref="A21:B21"/>
    <mergeCell ref="B10:F10"/>
    <mergeCell ref="B9:F9"/>
    <mergeCell ref="E19:F19"/>
    <mergeCell ref="B49:F49"/>
    <mergeCell ref="B34:F34"/>
    <mergeCell ref="B17:F17"/>
    <mergeCell ref="B38:F38"/>
    <mergeCell ref="A42:F42"/>
    <mergeCell ref="B8:F8"/>
    <mergeCell ref="B13:F13"/>
    <mergeCell ref="B11:F11"/>
    <mergeCell ref="B12:F12"/>
    <mergeCell ref="B36:F36"/>
    <mergeCell ref="B35:F35"/>
    <mergeCell ref="A23:B23"/>
    <mergeCell ref="B47:F47"/>
    <mergeCell ref="A24:B24"/>
    <mergeCell ref="B37:F37"/>
    <mergeCell ref="A26:B26"/>
    <mergeCell ref="A25:B25"/>
    <mergeCell ref="A179:C179"/>
    <mergeCell ref="A180:C180"/>
    <mergeCell ref="A181:C181"/>
    <mergeCell ref="A182:C182"/>
    <mergeCell ref="A202:C202"/>
    <mergeCell ref="A203:C203"/>
    <mergeCell ref="A210:C210"/>
    <mergeCell ref="A204:C204"/>
    <mergeCell ref="A206:C206"/>
    <mergeCell ref="A207:C207"/>
    <mergeCell ref="A208:C208"/>
    <mergeCell ref="A209:C209"/>
    <mergeCell ref="A201:E201"/>
    <mergeCell ref="A194:G194"/>
  </mergeCells>
  <phoneticPr fontId="0" type="noConversion"/>
  <pageMargins left="1.1811023622047245" right="0.39370078740157483" top="0.59055118110236227" bottom="0.35433070866141736" header="0.51181102362204722" footer="0.31496062992125984"/>
  <pageSetup paperSize="9" scale="90" fitToHeight="4" orientation="portrait" cellComments="atEnd" useFirstPageNumber="1" r:id="rId1"/>
  <headerFooter alignWithMargins="0"/>
  <rowBreaks count="3" manualBreakCount="3">
    <brk id="45" max="16383" man="1"/>
    <brk id="91" max="7" man="1"/>
    <brk id="141" max="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250"/>
  <sheetViews>
    <sheetView showGridLines="0" zoomScaleNormal="100" workbookViewId="0">
      <pane ySplit="1" topLeftCell="A35" activePane="bottomLeft" state="frozenSplit"/>
      <selection activeCell="G81" sqref="G81"/>
      <selection pane="bottomLeft" activeCell="G81" sqref="G81"/>
    </sheetView>
  </sheetViews>
  <sheetFormatPr baseColWidth="10" defaultColWidth="11.42578125" defaultRowHeight="12.75"/>
  <cols>
    <col min="1" max="1" width="12.5703125" style="88" customWidth="1"/>
    <col min="2" max="2" width="5.85546875" style="88" customWidth="1"/>
    <col min="3" max="3" width="8.5703125" style="88" customWidth="1"/>
    <col min="4" max="4" width="9.140625" style="88" customWidth="1"/>
    <col min="5" max="5" width="9.42578125" style="88" customWidth="1"/>
    <col min="6" max="6" width="8.85546875" style="88" customWidth="1"/>
    <col min="7" max="8" width="8.42578125" style="88" customWidth="1"/>
    <col min="9" max="10" width="9.5703125" style="88" customWidth="1"/>
    <col min="11" max="16384" width="11.42578125" style="88"/>
  </cols>
  <sheetData>
    <row r="1" spans="1:23">
      <c r="A1" s="297" t="str">
        <f>Hoved!A2</f>
        <v>År</v>
      </c>
      <c r="B1" s="298">
        <f>Hoved!B2</f>
        <v>2014</v>
      </c>
      <c r="C1" s="299" t="str">
        <f>Hoved!C2</f>
        <v>Justert pr.</v>
      </c>
      <c r="D1" s="300">
        <f ca="1">Hoved!D2</f>
        <v>41794.446624189812</v>
      </c>
      <c r="E1" s="301" t="str">
        <f>Hoved!E2</f>
        <v>Ramme:</v>
      </c>
      <c r="F1" s="302">
        <f>+Hoved!G16</f>
        <v>397.21300000000002</v>
      </c>
      <c r="G1" s="301" t="str">
        <f>Hoved!G2</f>
        <v>Budsjett</v>
      </c>
      <c r="H1" s="303">
        <f>Hoved!H2</f>
        <v>-2.7869999999999617</v>
      </c>
      <c r="I1" s="369">
        <f>Hoved!I2</f>
        <v>0</v>
      </c>
      <c r="J1" s="370">
        <f>+Hoved!J2</f>
        <v>397.21300000000002</v>
      </c>
      <c r="K1" s="219" t="s">
        <v>347</v>
      </c>
    </row>
    <row r="2" spans="1:23">
      <c r="A2" s="419" t="s">
        <v>316</v>
      </c>
      <c r="B2" s="405"/>
      <c r="C2" s="405"/>
      <c r="D2" s="405"/>
      <c r="E2" s="85" t="s">
        <v>173</v>
      </c>
      <c r="F2" s="85" t="s">
        <v>47</v>
      </c>
      <c r="G2" s="85" t="s">
        <v>50</v>
      </c>
      <c r="H2" s="283" t="s">
        <v>162</v>
      </c>
      <c r="I2" s="99" t="s">
        <v>18</v>
      </c>
      <c r="J2" s="288" t="s">
        <v>51</v>
      </c>
    </row>
    <row r="3" spans="1:23">
      <c r="A3" s="423"/>
      <c r="B3" s="397"/>
      <c r="C3" s="397"/>
      <c r="D3" s="397"/>
      <c r="E3" s="55"/>
      <c r="F3" s="86" t="s">
        <v>175</v>
      </c>
      <c r="G3" s="86" t="s">
        <v>11</v>
      </c>
      <c r="H3" s="87" t="s">
        <v>175</v>
      </c>
      <c r="I3" s="100" t="s">
        <v>15</v>
      </c>
      <c r="J3" s="291" t="s">
        <v>317</v>
      </c>
    </row>
    <row r="4" spans="1:23">
      <c r="A4" s="382" t="s">
        <v>300</v>
      </c>
      <c r="B4" s="407"/>
      <c r="C4" s="17" t="s">
        <v>370</v>
      </c>
      <c r="D4" s="5"/>
      <c r="E4" s="254">
        <f>654+29</f>
        <v>683</v>
      </c>
      <c r="F4" s="52">
        <v>115000</v>
      </c>
      <c r="G4" s="61">
        <f>1000+2000</f>
        <v>3000</v>
      </c>
      <c r="H4" s="36">
        <f t="shared" ref="H4:H7" si="0">+F4+G4</f>
        <v>118000</v>
      </c>
      <c r="I4" s="30">
        <f t="shared" ref="I4:I7" si="1">ROUND(E4*G4/1000000,1)</f>
        <v>2</v>
      </c>
      <c r="J4" s="40">
        <f>E4*H4/1000000</f>
        <v>80.593999999999994</v>
      </c>
      <c r="L4" s="121"/>
    </row>
    <row r="5" spans="1:23" ht="13.5" customHeight="1">
      <c r="A5" s="269" t="s">
        <v>172</v>
      </c>
      <c r="B5" s="281"/>
      <c r="C5" s="17" t="s">
        <v>370</v>
      </c>
      <c r="D5" s="5"/>
      <c r="E5" s="254">
        <f>985+21</f>
        <v>1006</v>
      </c>
      <c r="F5" s="52">
        <v>130000</v>
      </c>
      <c r="G5" s="61">
        <f t="shared" ref="G5:G7" si="2">1000+2000</f>
        <v>3000</v>
      </c>
      <c r="H5" s="36">
        <f t="shared" si="0"/>
        <v>133000</v>
      </c>
      <c r="I5" s="30">
        <f t="shared" si="1"/>
        <v>3</v>
      </c>
      <c r="J5" s="40">
        <f t="shared" ref="J5:J10" si="3">E5*H5/1000000</f>
        <v>133.798</v>
      </c>
    </row>
    <row r="6" spans="1:23">
      <c r="A6" s="382" t="s">
        <v>304</v>
      </c>
      <c r="B6" s="407"/>
      <c r="C6" s="17" t="s">
        <v>370</v>
      </c>
      <c r="D6" s="5"/>
      <c r="E6" s="254">
        <f>7308+347</f>
        <v>7655</v>
      </c>
      <c r="F6" s="52">
        <v>122000</v>
      </c>
      <c r="G6" s="61">
        <f t="shared" si="2"/>
        <v>3000</v>
      </c>
      <c r="H6" s="36">
        <f t="shared" si="0"/>
        <v>125000</v>
      </c>
      <c r="I6" s="30">
        <f t="shared" si="1"/>
        <v>23</v>
      </c>
      <c r="J6" s="40">
        <f t="shared" si="3"/>
        <v>956.875</v>
      </c>
      <c r="U6" s="248"/>
    </row>
    <row r="7" spans="1:23">
      <c r="A7" s="382" t="s">
        <v>174</v>
      </c>
      <c r="B7" s="407"/>
      <c r="C7" s="17" t="s">
        <v>370</v>
      </c>
      <c r="D7" s="5"/>
      <c r="E7" s="254">
        <f>291+6</f>
        <v>297</v>
      </c>
      <c r="F7" s="228">
        <f>+F5</f>
        <v>130000</v>
      </c>
      <c r="G7" s="61">
        <f t="shared" si="2"/>
        <v>3000</v>
      </c>
      <c r="H7" s="36">
        <f t="shared" si="0"/>
        <v>133000</v>
      </c>
      <c r="I7" s="30">
        <f t="shared" si="1"/>
        <v>0.9</v>
      </c>
      <c r="J7" s="40">
        <f t="shared" si="3"/>
        <v>39.500999999999998</v>
      </c>
      <c r="M7" s="154"/>
      <c r="U7" s="248"/>
    </row>
    <row r="8" spans="1:23">
      <c r="A8" s="449" t="s">
        <v>181</v>
      </c>
      <c r="B8" s="405"/>
      <c r="C8" s="405"/>
      <c r="D8" s="405"/>
      <c r="E8" s="215"/>
      <c r="F8" s="51"/>
      <c r="G8" s="51"/>
      <c r="H8" s="36"/>
      <c r="I8" s="30"/>
      <c r="J8" s="40"/>
      <c r="K8" s="146"/>
      <c r="L8" s="145"/>
      <c r="M8" s="154"/>
      <c r="U8" s="248"/>
    </row>
    <row r="9" spans="1:23">
      <c r="A9" s="450" t="s">
        <v>352</v>
      </c>
      <c r="B9" s="451"/>
      <c r="C9" s="382" t="s">
        <v>371</v>
      </c>
      <c r="D9" s="382"/>
      <c r="E9" s="254">
        <v>47233</v>
      </c>
      <c r="F9" s="52">
        <v>2850</v>
      </c>
      <c r="G9" s="61">
        <v>25</v>
      </c>
      <c r="H9" s="36">
        <f>+F9+G9</f>
        <v>2875</v>
      </c>
      <c r="I9" s="30">
        <f>ROUND(E9*G9/1000000,1)</f>
        <v>1.2</v>
      </c>
      <c r="J9" s="40">
        <f t="shared" si="3"/>
        <v>135.79487499999999</v>
      </c>
      <c r="K9" s="146"/>
      <c r="L9" s="145"/>
      <c r="M9" s="154"/>
      <c r="U9" s="248"/>
    </row>
    <row r="10" spans="1:23">
      <c r="A10" s="450" t="s">
        <v>353</v>
      </c>
      <c r="B10" s="451"/>
      <c r="C10" s="382" t="s">
        <v>370</v>
      </c>
      <c r="D10" s="382"/>
      <c r="E10" s="254">
        <v>236</v>
      </c>
      <c r="F10" s="52">
        <f>+F9*40</f>
        <v>114000</v>
      </c>
      <c r="G10" s="51">
        <f>+G9*40</f>
        <v>1000</v>
      </c>
      <c r="H10" s="36">
        <f>+F10+G10</f>
        <v>115000</v>
      </c>
      <c r="I10" s="30">
        <f>ROUND(E10*G10/1000000,1)</f>
        <v>0.2</v>
      </c>
      <c r="J10" s="40">
        <f t="shared" si="3"/>
        <v>27.14</v>
      </c>
      <c r="K10" s="146"/>
      <c r="L10" s="145"/>
      <c r="M10" s="154"/>
      <c r="U10" s="248"/>
    </row>
    <row r="11" spans="1:23">
      <c r="A11" s="382" t="s">
        <v>215</v>
      </c>
      <c r="B11" s="407"/>
      <c r="C11" s="407"/>
      <c r="D11" s="407"/>
      <c r="E11" s="407"/>
      <c r="F11" s="407"/>
      <c r="G11" s="407"/>
      <c r="H11" s="407"/>
      <c r="I11" s="200">
        <f>-51.2</f>
        <v>-51.2</v>
      </c>
      <c r="J11" s="40"/>
      <c r="L11" s="145"/>
      <c r="M11" s="154"/>
      <c r="N11" s="154"/>
      <c r="Q11" s="248"/>
      <c r="U11" s="248"/>
    </row>
    <row r="12" spans="1:23">
      <c r="A12" s="39" t="s">
        <v>182</v>
      </c>
      <c r="B12" s="39"/>
      <c r="C12" s="39"/>
      <c r="D12" s="39"/>
      <c r="E12" s="101">
        <f>+E4+E5+E6+E7+E10+3942</f>
        <v>13819</v>
      </c>
      <c r="F12" s="53"/>
      <c r="G12" s="43"/>
      <c r="H12" s="43"/>
      <c r="I12" s="97">
        <f>SUM(I4:I11)</f>
        <v>-20.900000000000006</v>
      </c>
      <c r="J12" s="97">
        <f>SUM(J4:J11)</f>
        <v>1373.7028750000002</v>
      </c>
      <c r="L12" s="145"/>
      <c r="M12" s="154"/>
      <c r="N12" s="154"/>
      <c r="Q12" s="248"/>
      <c r="U12" s="248"/>
      <c r="W12" s="248"/>
    </row>
    <row r="13" spans="1:23">
      <c r="A13" s="184"/>
      <c r="B13" s="5"/>
      <c r="C13" s="5"/>
      <c r="D13" s="5"/>
      <c r="E13" s="60"/>
      <c r="F13" s="52"/>
      <c r="G13" s="36"/>
      <c r="H13" s="36"/>
      <c r="I13" s="40"/>
      <c r="J13" s="56"/>
      <c r="K13" s="146"/>
      <c r="L13" s="145"/>
      <c r="M13" s="154"/>
      <c r="N13" s="154"/>
      <c r="Q13" s="248"/>
      <c r="U13" s="248"/>
      <c r="W13" s="248"/>
    </row>
    <row r="14" spans="1:23" ht="18" customHeight="1">
      <c r="A14" s="417" t="s">
        <v>318</v>
      </c>
      <c r="B14" s="405"/>
      <c r="C14" s="405"/>
      <c r="D14" s="405"/>
      <c r="E14" s="405"/>
      <c r="F14" s="17"/>
      <c r="G14" s="62"/>
      <c r="H14" s="17"/>
      <c r="I14" s="17"/>
      <c r="J14" s="17"/>
      <c r="K14" s="8"/>
      <c r="L14" s="145"/>
      <c r="M14" s="154"/>
      <c r="N14" s="154"/>
      <c r="Q14" s="248"/>
      <c r="U14" s="248"/>
      <c r="W14" s="248"/>
    </row>
    <row r="15" spans="1:23">
      <c r="A15" s="417"/>
      <c r="B15" s="405"/>
      <c r="C15" s="82" t="s">
        <v>80</v>
      </c>
      <c r="D15" s="82"/>
      <c r="E15" s="284" t="s">
        <v>78</v>
      </c>
      <c r="F15" s="284" t="s">
        <v>47</v>
      </c>
      <c r="G15" s="284" t="s">
        <v>81</v>
      </c>
      <c r="H15" s="284" t="s">
        <v>162</v>
      </c>
      <c r="I15" s="284" t="s">
        <v>18</v>
      </c>
      <c r="J15" s="288" t="s">
        <v>51</v>
      </c>
      <c r="L15" s="145"/>
      <c r="M15" s="154"/>
      <c r="N15" s="154"/>
      <c r="Q15" s="248"/>
      <c r="U15" s="248"/>
      <c r="W15" s="248"/>
    </row>
    <row r="16" spans="1:23">
      <c r="A16" s="417"/>
      <c r="B16" s="405"/>
      <c r="C16" s="284" t="s">
        <v>82</v>
      </c>
      <c r="D16" s="284" t="s">
        <v>83</v>
      </c>
      <c r="E16" s="287" t="s">
        <v>84</v>
      </c>
      <c r="F16" s="287" t="s">
        <v>85</v>
      </c>
      <c r="G16" s="287" t="s">
        <v>85</v>
      </c>
      <c r="H16" s="287" t="s">
        <v>85</v>
      </c>
      <c r="I16" s="287" t="s">
        <v>20</v>
      </c>
      <c r="J16" s="291" t="s">
        <v>86</v>
      </c>
      <c r="L16" s="249"/>
      <c r="M16" s="249"/>
      <c r="Q16" s="248"/>
      <c r="R16" s="248"/>
      <c r="U16" s="248"/>
      <c r="W16" s="248"/>
    </row>
    <row r="17" spans="1:23" ht="16.5">
      <c r="A17" s="398" t="s">
        <v>272</v>
      </c>
      <c r="B17" s="385"/>
      <c r="C17" s="385"/>
      <c r="D17" s="385"/>
      <c r="E17" s="150">
        <v>42359</v>
      </c>
      <c r="F17" s="95">
        <v>3000</v>
      </c>
      <c r="G17" s="194">
        <v>-3000</v>
      </c>
      <c r="H17" s="137">
        <f>+F17-G17</f>
        <v>6000</v>
      </c>
      <c r="I17" s="109">
        <f>+E17*G17*0.35/1000000</f>
        <v>-44.476950000000002</v>
      </c>
      <c r="J17" s="109">
        <f>-267.101662*0.35</f>
        <v>-93.485581699999983</v>
      </c>
      <c r="K17" s="155"/>
      <c r="L17" s="121"/>
      <c r="M17" s="142"/>
      <c r="N17" s="121"/>
      <c r="Q17" s="248"/>
      <c r="R17" s="248"/>
      <c r="U17" s="248"/>
      <c r="W17" s="248"/>
    </row>
    <row r="18" spans="1:23" ht="12.75" customHeight="1">
      <c r="A18" s="390" t="s">
        <v>280</v>
      </c>
      <c r="B18" s="383"/>
      <c r="C18" s="17">
        <v>1</v>
      </c>
      <c r="D18" s="17">
        <v>16</v>
      </c>
      <c r="E18" s="148">
        <v>136273.5</v>
      </c>
      <c r="F18" s="14">
        <v>4028</v>
      </c>
      <c r="G18" s="147"/>
      <c r="H18" s="148">
        <f>F18+G18</f>
        <v>4028</v>
      </c>
      <c r="I18" s="30">
        <f t="shared" ref="I18:I63" si="4">ROUND(E18*G18/1000000,1)</f>
        <v>0</v>
      </c>
      <c r="J18" s="30">
        <f>(E18*H18)/1000000</f>
        <v>548.90965800000004</v>
      </c>
      <c r="K18" s="30"/>
      <c r="L18" s="121"/>
      <c r="M18" s="254"/>
      <c r="N18" s="121"/>
      <c r="Q18" s="248"/>
      <c r="R18" s="248"/>
      <c r="U18" s="248"/>
      <c r="W18" s="248"/>
    </row>
    <row r="19" spans="1:23">
      <c r="A19" s="390"/>
      <c r="B19" s="383"/>
      <c r="C19" s="17">
        <v>17</v>
      </c>
      <c r="D19" s="17">
        <v>25</v>
      </c>
      <c r="E19" s="148">
        <v>40574.5</v>
      </c>
      <c r="F19" s="47">
        <v>2072</v>
      </c>
      <c r="G19" s="147"/>
      <c r="H19" s="148">
        <f>F19+G19</f>
        <v>2072</v>
      </c>
      <c r="I19" s="30">
        <f t="shared" si="4"/>
        <v>0</v>
      </c>
      <c r="J19" s="30">
        <f>(E19*H19)/1000000</f>
        <v>84.070363999999998</v>
      </c>
      <c r="K19" s="30"/>
      <c r="L19" s="121"/>
      <c r="M19" s="254"/>
      <c r="N19" s="121"/>
      <c r="Q19" s="248"/>
      <c r="R19" s="248"/>
      <c r="U19" s="248"/>
      <c r="W19" s="248"/>
    </row>
    <row r="20" spans="1:23">
      <c r="A20" s="390"/>
      <c r="B20" s="383"/>
      <c r="C20" s="17">
        <v>26</v>
      </c>
      <c r="D20" s="17">
        <v>50</v>
      </c>
      <c r="E20" s="148">
        <v>40517.5</v>
      </c>
      <c r="F20" s="47">
        <v>860</v>
      </c>
      <c r="G20" s="149">
        <v>140</v>
      </c>
      <c r="H20" s="148">
        <f>F20+G20</f>
        <v>1000</v>
      </c>
      <c r="I20" s="30">
        <f t="shared" si="4"/>
        <v>5.7</v>
      </c>
      <c r="J20" s="30">
        <f>(E20*H20)/1000000</f>
        <v>40.517499999999998</v>
      </c>
      <c r="K20" s="30"/>
      <c r="L20" s="121"/>
      <c r="M20" s="254"/>
      <c r="N20" s="121"/>
      <c r="P20" s="248"/>
      <c r="Q20" s="248"/>
      <c r="R20" s="248"/>
      <c r="U20" s="248"/>
      <c r="V20" s="248"/>
      <c r="W20" s="248"/>
    </row>
    <row r="21" spans="1:23">
      <c r="A21" s="278"/>
      <c r="B21" s="270"/>
      <c r="C21" s="288" t="s">
        <v>396</v>
      </c>
      <c r="D21" s="17"/>
      <c r="E21" s="148">
        <v>11271</v>
      </c>
      <c r="F21" s="47">
        <v>0</v>
      </c>
      <c r="G21" s="149">
        <v>800</v>
      </c>
      <c r="H21" s="148">
        <f>F21+G21</f>
        <v>800</v>
      </c>
      <c r="I21" s="30">
        <f t="shared" ref="I21" si="5">ROUND(E21*G21/1000000,1)</f>
        <v>9</v>
      </c>
      <c r="J21" s="30">
        <f>(E21*H21)/1000000</f>
        <v>9.0167999999999999</v>
      </c>
      <c r="K21" s="30"/>
      <c r="L21" s="121"/>
      <c r="M21" s="254"/>
      <c r="N21" s="121"/>
      <c r="P21" s="248"/>
      <c r="Q21" s="248"/>
      <c r="R21" s="248"/>
      <c r="U21" s="248"/>
      <c r="V21" s="248"/>
      <c r="W21" s="248"/>
    </row>
    <row r="22" spans="1:23">
      <c r="A22" s="398"/>
      <c r="B22" s="385"/>
      <c r="C22" s="422" t="s">
        <v>87</v>
      </c>
      <c r="D22" s="422"/>
      <c r="E22" s="137">
        <f>SUM(E18:E21)</f>
        <v>228636.5</v>
      </c>
      <c r="F22" s="16"/>
      <c r="G22" s="43"/>
      <c r="H22" s="150"/>
      <c r="I22" s="58">
        <f>SUM(I18:I21)</f>
        <v>14.7</v>
      </c>
      <c r="J22" s="97">
        <f>SUM(J18:J21)</f>
        <v>682.51432200000011</v>
      </c>
      <c r="K22" s="146"/>
      <c r="L22" s="145"/>
      <c r="P22" s="248"/>
      <c r="Q22" s="248"/>
      <c r="R22" s="248"/>
      <c r="U22" s="248"/>
      <c r="V22" s="248"/>
      <c r="W22" s="248"/>
    </row>
    <row r="23" spans="1:23">
      <c r="A23" s="406" t="s">
        <v>88</v>
      </c>
      <c r="B23" s="443"/>
      <c r="C23" s="242">
        <v>1</v>
      </c>
      <c r="D23" s="242">
        <v>250</v>
      </c>
      <c r="E23" s="243">
        <v>535286.5</v>
      </c>
      <c r="F23" s="244">
        <v>800</v>
      </c>
      <c r="G23" s="245">
        <v>0</v>
      </c>
      <c r="H23" s="243">
        <f>F23+G23</f>
        <v>800</v>
      </c>
      <c r="I23" s="246">
        <f t="shared" si="4"/>
        <v>0</v>
      </c>
      <c r="J23" s="40">
        <f>(E23*H23)/1000000</f>
        <v>428.22919999999999</v>
      </c>
      <c r="L23" s="121"/>
      <c r="M23" s="121"/>
      <c r="N23" s="121"/>
      <c r="P23" s="248"/>
      <c r="Q23" s="248"/>
      <c r="R23" s="248"/>
      <c r="U23" s="248"/>
      <c r="V23" s="248"/>
      <c r="W23" s="248"/>
    </row>
    <row r="24" spans="1:23">
      <c r="A24" s="278"/>
      <c r="B24" s="286"/>
      <c r="C24" s="17">
        <v>251</v>
      </c>
      <c r="D24" s="17">
        <v>500</v>
      </c>
      <c r="E24" s="148">
        <v>3803</v>
      </c>
      <c r="F24" s="15">
        <v>0</v>
      </c>
      <c r="G24" s="147">
        <v>800</v>
      </c>
      <c r="H24" s="148">
        <f t="shared" ref="H24:H25" si="6">F24+G24</f>
        <v>800</v>
      </c>
      <c r="I24" s="30">
        <f t="shared" ref="I24:I25" si="7">ROUND(E24*G24/1000000,1)</f>
        <v>3</v>
      </c>
      <c r="J24" s="40">
        <f t="shared" ref="J24:J25" si="8">(E24*H24)/1000000</f>
        <v>3.0424000000000002</v>
      </c>
      <c r="L24" s="121"/>
      <c r="M24" s="254"/>
      <c r="N24" s="121"/>
      <c r="P24" s="248"/>
      <c r="Q24" s="248"/>
      <c r="R24" s="248"/>
      <c r="U24" s="248"/>
      <c r="V24" s="248"/>
      <c r="W24" s="248"/>
    </row>
    <row r="25" spans="1:23">
      <c r="A25" s="278"/>
      <c r="B25" s="286"/>
      <c r="C25" s="291" t="s">
        <v>393</v>
      </c>
      <c r="D25" s="17"/>
      <c r="E25" s="148">
        <v>1334</v>
      </c>
      <c r="F25" s="15">
        <v>0</v>
      </c>
      <c r="G25" s="147">
        <v>800</v>
      </c>
      <c r="H25" s="148">
        <f t="shared" si="6"/>
        <v>800</v>
      </c>
      <c r="I25" s="30">
        <f t="shared" si="7"/>
        <v>1.1000000000000001</v>
      </c>
      <c r="J25" s="40">
        <f t="shared" si="8"/>
        <v>1.0671999999999999</v>
      </c>
      <c r="L25" s="121"/>
      <c r="M25" s="254"/>
      <c r="N25" s="121"/>
      <c r="P25" s="248"/>
      <c r="Q25" s="248"/>
      <c r="R25" s="248"/>
      <c r="U25" s="248"/>
      <c r="V25" s="248"/>
      <c r="W25" s="248"/>
    </row>
    <row r="26" spans="1:23">
      <c r="A26" s="279"/>
      <c r="B26" s="290"/>
      <c r="C26" s="422" t="s">
        <v>87</v>
      </c>
      <c r="D26" s="422"/>
      <c r="E26" s="137">
        <f>SUM(E23:E25)</f>
        <v>540423.5</v>
      </c>
      <c r="F26" s="16"/>
      <c r="G26" s="43"/>
      <c r="H26" s="150"/>
      <c r="I26" s="58">
        <f>SUM(I23:I25)</f>
        <v>4.0999999999999996</v>
      </c>
      <c r="J26" s="97">
        <f>SUM(J23:J25)</f>
        <v>432.33879999999999</v>
      </c>
      <c r="L26" s="145"/>
      <c r="P26" s="248"/>
      <c r="Q26" s="248"/>
      <c r="R26" s="248"/>
      <c r="U26" s="248"/>
      <c r="V26" s="248"/>
      <c r="W26" s="248"/>
    </row>
    <row r="27" spans="1:23">
      <c r="A27" s="390" t="s">
        <v>89</v>
      </c>
      <c r="B27" s="383"/>
      <c r="C27" s="17">
        <v>1</v>
      </c>
      <c r="D27" s="17">
        <v>125</v>
      </c>
      <c r="E27" s="148">
        <v>27734</v>
      </c>
      <c r="F27" s="15">
        <v>1400</v>
      </c>
      <c r="G27" s="147">
        <v>100</v>
      </c>
      <c r="H27" s="148">
        <f>F27+G27</f>
        <v>1500</v>
      </c>
      <c r="I27" s="30">
        <f t="shared" si="4"/>
        <v>2.8</v>
      </c>
      <c r="J27" s="30">
        <f>(E27*H27)/1000000</f>
        <v>41.600999999999999</v>
      </c>
      <c r="L27" s="254"/>
      <c r="M27" s="254"/>
      <c r="N27" s="121"/>
      <c r="P27" s="248"/>
      <c r="Q27" s="248"/>
      <c r="R27" s="248"/>
      <c r="U27" s="248"/>
      <c r="V27" s="248"/>
      <c r="W27" s="248"/>
    </row>
    <row r="28" spans="1:23">
      <c r="A28" s="390"/>
      <c r="B28" s="383"/>
      <c r="C28" s="17">
        <v>126</v>
      </c>
      <c r="D28" s="17">
        <v>250</v>
      </c>
      <c r="E28" s="148">
        <v>3838.5</v>
      </c>
      <c r="F28" s="15">
        <v>512</v>
      </c>
      <c r="G28" s="147">
        <v>38</v>
      </c>
      <c r="H28" s="148">
        <f>F28+G28</f>
        <v>550</v>
      </c>
      <c r="I28" s="30">
        <f t="shared" si="4"/>
        <v>0.1</v>
      </c>
      <c r="J28" s="30">
        <f>(E28*H28)/1000000</f>
        <v>2.1111749999999998</v>
      </c>
      <c r="L28" s="254"/>
      <c r="M28" s="254"/>
      <c r="N28" s="121"/>
      <c r="P28" s="248"/>
      <c r="Q28" s="248"/>
      <c r="R28" s="248"/>
      <c r="U28" s="248"/>
      <c r="V28" s="248"/>
      <c r="W28" s="248"/>
    </row>
    <row r="29" spans="1:23">
      <c r="A29" s="278"/>
      <c r="B29" s="270"/>
      <c r="C29" s="288" t="s">
        <v>391</v>
      </c>
      <c r="D29" s="17"/>
      <c r="E29" s="148">
        <v>168</v>
      </c>
      <c r="F29" s="15">
        <v>0</v>
      </c>
      <c r="G29" s="147">
        <v>550</v>
      </c>
      <c r="H29" s="148">
        <f>F29+G29</f>
        <v>550</v>
      </c>
      <c r="I29" s="30">
        <f t="shared" ref="I29" si="9">ROUND(E29*G29/1000000,1)</f>
        <v>0.1</v>
      </c>
      <c r="J29" s="30">
        <f>(E29*H29)/1000000</f>
        <v>9.2399999999999996E-2</v>
      </c>
      <c r="L29" s="254"/>
      <c r="M29" s="254"/>
      <c r="N29" s="121"/>
      <c r="P29" s="248"/>
      <c r="Q29" s="248"/>
      <c r="R29" s="248"/>
      <c r="U29" s="248"/>
      <c r="V29" s="248"/>
      <c r="W29" s="248"/>
    </row>
    <row r="30" spans="1:23">
      <c r="A30" s="398"/>
      <c r="B30" s="385"/>
      <c r="C30" s="422" t="s">
        <v>87</v>
      </c>
      <c r="D30" s="422"/>
      <c r="E30" s="137">
        <f>SUM(E27:E29)</f>
        <v>31740.5</v>
      </c>
      <c r="F30" s="16"/>
      <c r="G30" s="43"/>
      <c r="H30" s="150"/>
      <c r="I30" s="58">
        <f>SUM(I27:I29)</f>
        <v>3</v>
      </c>
      <c r="J30" s="97">
        <f>SUM(J27:J29)</f>
        <v>43.804575</v>
      </c>
      <c r="L30" s="145"/>
      <c r="P30" s="248"/>
      <c r="Q30" s="248"/>
      <c r="R30" s="248"/>
      <c r="U30" s="248"/>
      <c r="V30" s="248"/>
      <c r="W30" s="248"/>
    </row>
    <row r="31" spans="1:23">
      <c r="A31" s="390" t="s">
        <v>181</v>
      </c>
      <c r="B31" s="383"/>
      <c r="C31" s="17">
        <v>1</v>
      </c>
      <c r="D31" s="17">
        <v>25</v>
      </c>
      <c r="E31" s="148">
        <v>60701</v>
      </c>
      <c r="F31" s="14">
        <v>4080</v>
      </c>
      <c r="G31" s="147">
        <f>-200+100</f>
        <v>-100</v>
      </c>
      <c r="H31" s="148">
        <f>F31+G31</f>
        <v>3980</v>
      </c>
      <c r="I31" s="30">
        <f t="shared" si="4"/>
        <v>-6.1</v>
      </c>
      <c r="J31" s="30">
        <f>(E31*H31)/1000000</f>
        <v>241.58998</v>
      </c>
      <c r="K31" s="30"/>
      <c r="L31" s="121"/>
      <c r="M31" s="121"/>
      <c r="N31" s="121"/>
      <c r="P31" s="248"/>
      <c r="Q31" s="248"/>
      <c r="R31" s="248"/>
      <c r="U31" s="248"/>
      <c r="V31" s="248"/>
      <c r="W31" s="248"/>
    </row>
    <row r="32" spans="1:23">
      <c r="A32" s="278"/>
      <c r="B32" s="270"/>
      <c r="C32" s="17">
        <v>26</v>
      </c>
      <c r="D32" s="17">
        <v>50</v>
      </c>
      <c r="E32" s="148">
        <v>8868</v>
      </c>
      <c r="F32" s="14">
        <v>2170</v>
      </c>
      <c r="G32" s="147">
        <f>1710+100</f>
        <v>1810</v>
      </c>
      <c r="H32" s="148">
        <f>F32+G32</f>
        <v>3980</v>
      </c>
      <c r="I32" s="30">
        <f t="shared" ref="I32:I33" si="10">ROUND(E32*G32/1000000,1)</f>
        <v>16.100000000000001</v>
      </c>
      <c r="J32" s="30">
        <f>(E32*H32)/1000000</f>
        <v>35.294640000000001</v>
      </c>
      <c r="K32" s="30"/>
      <c r="L32" s="121"/>
      <c r="M32" s="254"/>
      <c r="N32" s="121"/>
      <c r="P32" s="248"/>
      <c r="Q32" s="248"/>
      <c r="R32" s="248"/>
      <c r="U32" s="248"/>
      <c r="V32" s="248"/>
      <c r="W32" s="248"/>
    </row>
    <row r="33" spans="1:25">
      <c r="A33" s="278"/>
      <c r="B33" s="270"/>
      <c r="C33" s="17" t="s">
        <v>403</v>
      </c>
      <c r="D33" s="17"/>
      <c r="E33" s="148">
        <v>1902</v>
      </c>
      <c r="F33" s="14">
        <v>500</v>
      </c>
      <c r="G33" s="147">
        <v>300</v>
      </c>
      <c r="H33" s="148">
        <v>500</v>
      </c>
      <c r="I33" s="30">
        <f t="shared" si="10"/>
        <v>0.6</v>
      </c>
      <c r="J33" s="30">
        <v>0.95099999999999996</v>
      </c>
      <c r="K33" s="30"/>
      <c r="L33" s="121"/>
      <c r="M33" s="254"/>
      <c r="N33" s="121"/>
      <c r="P33" s="248"/>
      <c r="Q33" s="248"/>
      <c r="R33" s="248"/>
      <c r="U33" s="248"/>
      <c r="V33" s="248"/>
      <c r="W33" s="248"/>
    </row>
    <row r="34" spans="1:25">
      <c r="A34" s="398"/>
      <c r="B34" s="385"/>
      <c r="C34" s="422" t="s">
        <v>87</v>
      </c>
      <c r="D34" s="422"/>
      <c r="E34" s="137">
        <f>SUM(E31:E33)</f>
        <v>71471</v>
      </c>
      <c r="F34" s="16"/>
      <c r="G34" s="43"/>
      <c r="H34" s="150"/>
      <c r="I34" s="58">
        <f>SUM(I31:I33)</f>
        <v>10.600000000000001</v>
      </c>
      <c r="J34" s="97">
        <f>SUM(J31:J33)</f>
        <v>277.83562000000001</v>
      </c>
      <c r="K34" s="146"/>
      <c r="L34" s="145"/>
      <c r="P34" s="248"/>
      <c r="Q34" s="248"/>
      <c r="R34" s="248"/>
      <c r="U34" s="248"/>
      <c r="V34" s="248"/>
      <c r="W34" s="248"/>
    </row>
    <row r="35" spans="1:25" ht="12.75" customHeight="1">
      <c r="A35" s="390" t="s">
        <v>319</v>
      </c>
      <c r="B35" s="383"/>
      <c r="C35" s="17">
        <v>1</v>
      </c>
      <c r="D35" s="17">
        <v>50</v>
      </c>
      <c r="E35" s="148">
        <v>483893</v>
      </c>
      <c r="F35" s="14">
        <v>1326</v>
      </c>
      <c r="G35" s="147">
        <f>-526+200</f>
        <v>-326</v>
      </c>
      <c r="H35" s="148">
        <f t="shared" ref="H35:H41" si="11">F35+G35</f>
        <v>1000</v>
      </c>
      <c r="I35" s="30">
        <f t="shared" si="4"/>
        <v>-157.69999999999999</v>
      </c>
      <c r="J35" s="37">
        <f t="shared" ref="J35:J41" si="12">(E35*H35)/1000000</f>
        <v>483.89299999999997</v>
      </c>
      <c r="K35" s="60"/>
      <c r="M35" s="254"/>
      <c r="N35" s="121"/>
      <c r="P35" s="248"/>
      <c r="Q35" s="248"/>
      <c r="R35" s="248"/>
      <c r="U35" s="248"/>
      <c r="V35" s="248"/>
      <c r="W35" s="248"/>
    </row>
    <row r="36" spans="1:25" ht="12.75" customHeight="1">
      <c r="A36" s="278"/>
      <c r="B36" s="270"/>
      <c r="C36" s="17">
        <v>51</v>
      </c>
      <c r="D36" s="17">
        <v>100</v>
      </c>
      <c r="E36" s="148">
        <v>172491</v>
      </c>
      <c r="F36" s="14">
        <v>1070</v>
      </c>
      <c r="G36" s="147">
        <f>-270+200</f>
        <v>-70</v>
      </c>
      <c r="H36" s="148">
        <f t="shared" si="11"/>
        <v>1000</v>
      </c>
      <c r="I36" s="30">
        <f t="shared" si="4"/>
        <v>-12.1</v>
      </c>
      <c r="J36" s="37">
        <f t="shared" si="12"/>
        <v>172.49100000000001</v>
      </c>
      <c r="K36" s="83"/>
      <c r="M36" s="254"/>
      <c r="N36" s="121"/>
      <c r="P36" s="248"/>
      <c r="Q36" s="248"/>
      <c r="R36" s="248"/>
      <c r="U36" s="248"/>
      <c r="V36" s="248"/>
      <c r="W36" s="248"/>
    </row>
    <row r="37" spans="1:25">
      <c r="A37" s="390" t="s">
        <v>194</v>
      </c>
      <c r="B37" s="390"/>
      <c r="C37" s="17">
        <v>101</v>
      </c>
      <c r="D37" s="17">
        <v>200</v>
      </c>
      <c r="E37" s="148">
        <v>67445</v>
      </c>
      <c r="F37" s="15">
        <v>347</v>
      </c>
      <c r="G37" s="147">
        <v>-97</v>
      </c>
      <c r="H37" s="148">
        <f t="shared" si="11"/>
        <v>250</v>
      </c>
      <c r="I37" s="30">
        <f t="shared" si="4"/>
        <v>-6.5</v>
      </c>
      <c r="J37" s="37">
        <f t="shared" si="12"/>
        <v>16.861249999999998</v>
      </c>
      <c r="K37" s="60"/>
      <c r="M37" s="254"/>
      <c r="N37" s="121"/>
      <c r="P37" s="248"/>
      <c r="Q37" s="248"/>
      <c r="R37" s="248"/>
      <c r="S37" s="248"/>
      <c r="U37" s="248"/>
      <c r="V37" s="248"/>
      <c r="W37" s="248"/>
      <c r="X37" s="248"/>
      <c r="Y37" s="248"/>
    </row>
    <row r="38" spans="1:25">
      <c r="A38" s="390"/>
      <c r="B38" s="390"/>
      <c r="C38" s="17">
        <v>201</v>
      </c>
      <c r="D38" s="17">
        <v>300</v>
      </c>
      <c r="E38" s="148">
        <v>8119</v>
      </c>
      <c r="F38" s="15">
        <v>210</v>
      </c>
      <c r="G38" s="147">
        <v>40</v>
      </c>
      <c r="H38" s="148">
        <f t="shared" si="11"/>
        <v>250</v>
      </c>
      <c r="I38" s="30">
        <f t="shared" si="4"/>
        <v>0.3</v>
      </c>
      <c r="J38" s="37">
        <f t="shared" si="12"/>
        <v>2.0297499999999999</v>
      </c>
      <c r="K38" s="60"/>
      <c r="M38" s="254"/>
      <c r="N38" s="121"/>
      <c r="P38" s="248"/>
      <c r="Q38" s="248"/>
      <c r="R38" s="248"/>
      <c r="S38" s="248"/>
      <c r="U38" s="248"/>
      <c r="V38" s="248"/>
      <c r="W38" s="248"/>
      <c r="X38" s="248"/>
      <c r="Y38" s="248"/>
    </row>
    <row r="39" spans="1:25">
      <c r="A39" s="390"/>
      <c r="B39" s="390"/>
      <c r="C39" s="288" t="s">
        <v>392</v>
      </c>
      <c r="D39" s="17"/>
      <c r="E39" s="148">
        <v>1540</v>
      </c>
      <c r="F39" s="15">
        <v>0</v>
      </c>
      <c r="G39" s="147">
        <v>250</v>
      </c>
      <c r="H39" s="148">
        <f t="shared" si="11"/>
        <v>250</v>
      </c>
      <c r="I39" s="30">
        <f t="shared" ref="I39" si="13">ROUND(E39*G39/1000000,1)</f>
        <v>0.4</v>
      </c>
      <c r="J39" s="37">
        <f t="shared" si="12"/>
        <v>0.38500000000000001</v>
      </c>
      <c r="K39" s="60"/>
      <c r="M39" s="254"/>
      <c r="N39" s="121"/>
      <c r="P39" s="248"/>
      <c r="Q39" s="248"/>
      <c r="R39" s="248"/>
      <c r="S39" s="248"/>
      <c r="U39" s="248"/>
      <c r="V39" s="248"/>
      <c r="W39" s="248"/>
      <c r="X39" s="248"/>
      <c r="Y39" s="248"/>
    </row>
    <row r="40" spans="1:25">
      <c r="A40" s="390" t="s">
        <v>210</v>
      </c>
      <c r="B40" s="383"/>
      <c r="C40" s="17">
        <v>1</v>
      </c>
      <c r="D40" s="17">
        <v>300</v>
      </c>
      <c r="E40" s="148">
        <v>31812</v>
      </c>
      <c r="F40" s="15">
        <v>210</v>
      </c>
      <c r="G40" s="147">
        <v>-210</v>
      </c>
      <c r="H40" s="148">
        <f t="shared" si="11"/>
        <v>0</v>
      </c>
      <c r="I40" s="30">
        <f t="shared" si="4"/>
        <v>-6.7</v>
      </c>
      <c r="J40" s="37">
        <f t="shared" si="12"/>
        <v>0</v>
      </c>
      <c r="K40" s="94"/>
      <c r="M40" s="254"/>
      <c r="N40" s="121"/>
      <c r="P40" s="248"/>
      <c r="Q40" s="248"/>
      <c r="R40" s="248"/>
      <c r="S40" s="248"/>
      <c r="U40" s="248"/>
      <c r="V40" s="248"/>
      <c r="W40" s="248"/>
      <c r="X40" s="248"/>
      <c r="Y40" s="248"/>
    </row>
    <row r="41" spans="1:25">
      <c r="A41" s="278"/>
      <c r="B41" s="270"/>
      <c r="C41" s="288" t="s">
        <v>392</v>
      </c>
      <c r="D41" s="17"/>
      <c r="E41" s="148">
        <v>365</v>
      </c>
      <c r="F41" s="15">
        <v>0</v>
      </c>
      <c r="G41" s="147"/>
      <c r="H41" s="148">
        <f t="shared" si="11"/>
        <v>0</v>
      </c>
      <c r="I41" s="376">
        <v>17.899999999999999</v>
      </c>
      <c r="J41" s="37">
        <f t="shared" si="12"/>
        <v>0</v>
      </c>
      <c r="K41" s="94"/>
      <c r="M41" s="254"/>
      <c r="N41" s="121"/>
      <c r="P41" s="248"/>
      <c r="Q41" s="248"/>
      <c r="R41" s="248"/>
      <c r="S41" s="248"/>
      <c r="U41" s="248"/>
      <c r="V41" s="248"/>
      <c r="W41" s="248"/>
      <c r="X41" s="248"/>
      <c r="Y41" s="248"/>
    </row>
    <row r="42" spans="1:25">
      <c r="A42" s="398"/>
      <c r="B42" s="385"/>
      <c r="C42" s="422" t="s">
        <v>87</v>
      </c>
      <c r="D42" s="422"/>
      <c r="E42" s="137">
        <f>SUM(E35:E41)</f>
        <v>765665</v>
      </c>
      <c r="F42" s="16"/>
      <c r="G42" s="43"/>
      <c r="H42" s="150"/>
      <c r="I42" s="58">
        <f>SUM(I35:I41)</f>
        <v>-164.39999999999995</v>
      </c>
      <c r="J42" s="122">
        <f>SUM(J35:J41)</f>
        <v>675.66000000000008</v>
      </c>
      <c r="K42" s="94"/>
      <c r="P42" s="248"/>
      <c r="Q42" s="248"/>
      <c r="R42" s="248"/>
      <c r="S42" s="248"/>
      <c r="U42" s="248"/>
      <c r="V42" s="248"/>
      <c r="W42" s="248"/>
      <c r="X42" s="248"/>
      <c r="Y42" s="248"/>
    </row>
    <row r="43" spans="1:25">
      <c r="A43" s="390" t="s">
        <v>184</v>
      </c>
      <c r="B43" s="383"/>
      <c r="C43" s="382" t="s">
        <v>320</v>
      </c>
      <c r="D43" s="382"/>
      <c r="E43" s="148">
        <v>923945</v>
      </c>
      <c r="F43" s="15">
        <v>206</v>
      </c>
      <c r="G43" s="147">
        <f>401-107</f>
        <v>294</v>
      </c>
      <c r="H43" s="148">
        <f>F43+G43</f>
        <v>500</v>
      </c>
      <c r="I43" s="30">
        <f t="shared" si="4"/>
        <v>271.60000000000002</v>
      </c>
      <c r="J43" s="37">
        <f t="shared" ref="J43:J46" si="14">(E43*H43)/1000000</f>
        <v>461.97250000000003</v>
      </c>
      <c r="M43" s="254"/>
      <c r="N43" s="121"/>
      <c r="P43" s="248"/>
      <c r="Q43" s="248"/>
      <c r="R43" s="248"/>
      <c r="S43" s="248"/>
      <c r="U43" s="248"/>
      <c r="V43" s="248"/>
      <c r="W43" s="248"/>
      <c r="X43" s="248"/>
      <c r="Y43" s="248"/>
    </row>
    <row r="44" spans="1:25">
      <c r="A44" s="390"/>
      <c r="B44" s="383"/>
      <c r="C44" s="382" t="s">
        <v>335</v>
      </c>
      <c r="D44" s="382"/>
      <c r="E44" s="148">
        <v>58893</v>
      </c>
      <c r="F44" s="15">
        <v>0</v>
      </c>
      <c r="G44" s="147"/>
      <c r="H44" s="148">
        <f>F44+G44</f>
        <v>0</v>
      </c>
      <c r="I44" s="30">
        <f t="shared" si="4"/>
        <v>0</v>
      </c>
      <c r="J44" s="37">
        <f t="shared" si="14"/>
        <v>0</v>
      </c>
      <c r="M44" s="254"/>
      <c r="P44" s="248"/>
      <c r="Q44" s="248"/>
      <c r="R44" s="248"/>
      <c r="S44" s="248"/>
      <c r="U44" s="248"/>
      <c r="V44" s="248"/>
      <c r="W44" s="248"/>
      <c r="X44" s="248"/>
      <c r="Y44" s="248"/>
    </row>
    <row r="45" spans="1:25">
      <c r="A45" s="390"/>
      <c r="B45" s="383"/>
      <c r="C45" s="382" t="s">
        <v>294</v>
      </c>
      <c r="D45" s="382"/>
      <c r="E45" s="148">
        <v>7901</v>
      </c>
      <c r="F45" s="15">
        <v>80</v>
      </c>
      <c r="G45" s="380">
        <f>160+60</f>
        <v>220</v>
      </c>
      <c r="H45" s="148">
        <f>F45+G45</f>
        <v>300</v>
      </c>
      <c r="I45" s="30">
        <f t="shared" si="4"/>
        <v>1.7</v>
      </c>
      <c r="J45" s="37">
        <f t="shared" si="14"/>
        <v>2.3702999999999999</v>
      </c>
      <c r="M45" s="254"/>
      <c r="N45" s="121"/>
      <c r="P45" s="248"/>
      <c r="Q45" s="248"/>
      <c r="R45" s="248"/>
      <c r="S45" s="248"/>
      <c r="U45" s="248"/>
      <c r="V45" s="248"/>
      <c r="W45" s="248"/>
      <c r="X45" s="248"/>
      <c r="Y45" s="248"/>
    </row>
    <row r="46" spans="1:25">
      <c r="A46" s="447" t="s">
        <v>221</v>
      </c>
      <c r="B46" s="448"/>
      <c r="C46" s="382" t="s">
        <v>281</v>
      </c>
      <c r="D46" s="382"/>
      <c r="E46" s="148">
        <v>34050</v>
      </c>
      <c r="F46" s="136">
        <v>40</v>
      </c>
      <c r="G46" s="147"/>
      <c r="H46" s="148">
        <f>F46+G46</f>
        <v>40</v>
      </c>
      <c r="I46" s="30">
        <f t="shared" si="4"/>
        <v>0</v>
      </c>
      <c r="J46" s="37">
        <f t="shared" si="14"/>
        <v>1.3620000000000001</v>
      </c>
      <c r="M46" s="254"/>
      <c r="P46" s="248"/>
      <c r="Q46" s="248"/>
      <c r="R46" s="248"/>
      <c r="S46" s="248"/>
      <c r="U46" s="248"/>
      <c r="V46" s="248"/>
      <c r="W46" s="248"/>
      <c r="X46" s="248"/>
      <c r="Y46" s="248"/>
    </row>
    <row r="47" spans="1:25">
      <c r="A47" s="398"/>
      <c r="B47" s="385"/>
      <c r="C47" s="422" t="s">
        <v>87</v>
      </c>
      <c r="D47" s="422"/>
      <c r="E47" s="137">
        <f>SUM(E43:E46)</f>
        <v>1024789</v>
      </c>
      <c r="F47" s="16"/>
      <c r="G47" s="43"/>
      <c r="H47" s="150"/>
      <c r="I47" s="58">
        <f>SUM(I43:I46)</f>
        <v>273.3</v>
      </c>
      <c r="J47" s="97">
        <f>SUM(J43:J46)</f>
        <v>465.70480000000003</v>
      </c>
      <c r="P47" s="248"/>
      <c r="Q47" s="248"/>
      <c r="R47" s="248"/>
      <c r="S47" s="248"/>
      <c r="U47" s="248"/>
      <c r="V47" s="248"/>
      <c r="W47" s="248"/>
      <c r="X47" s="248"/>
      <c r="Y47" s="248"/>
    </row>
    <row r="48" spans="1:25">
      <c r="A48" s="390" t="s">
        <v>295</v>
      </c>
      <c r="B48" s="383"/>
      <c r="C48" s="17">
        <v>1</v>
      </c>
      <c r="D48" s="17">
        <v>35</v>
      </c>
      <c r="E48" s="148">
        <v>25318</v>
      </c>
      <c r="F48" s="15">
        <v>915</v>
      </c>
      <c r="G48" s="147"/>
      <c r="H48" s="148">
        <f>F48+G48</f>
        <v>915</v>
      </c>
      <c r="I48" s="30">
        <f>ROUND(E48*G48/1000000,1)</f>
        <v>0</v>
      </c>
      <c r="J48" s="30">
        <f>(E48*H48)/1000000</f>
        <v>23.165970000000002</v>
      </c>
      <c r="L48" s="254"/>
      <c r="M48" s="254"/>
      <c r="N48" s="121"/>
      <c r="P48" s="248"/>
      <c r="Q48" s="248"/>
      <c r="R48" s="248"/>
      <c r="S48" s="248"/>
      <c r="U48" s="248"/>
      <c r="V48" s="248"/>
      <c r="W48" s="248"/>
      <c r="X48" s="248"/>
      <c r="Y48" s="248"/>
    </row>
    <row r="49" spans="1:25">
      <c r="A49" s="390" t="s">
        <v>296</v>
      </c>
      <c r="B49" s="383"/>
      <c r="C49" s="17">
        <v>1</v>
      </c>
      <c r="D49" s="17">
        <v>35</v>
      </c>
      <c r="E49" s="148">
        <v>5318.5</v>
      </c>
      <c r="F49" s="15">
        <v>765</v>
      </c>
      <c r="G49" s="147"/>
      <c r="H49" s="148">
        <f>F49+G49</f>
        <v>765</v>
      </c>
      <c r="I49" s="30">
        <f>ROUND(E49*G49/1000000,1)</f>
        <v>0</v>
      </c>
      <c r="J49" s="30">
        <f>(E49*H49)/1000000</f>
        <v>4.0686524999999998</v>
      </c>
      <c r="L49" s="254"/>
      <c r="M49" s="254"/>
      <c r="N49" s="121"/>
      <c r="P49" s="248"/>
      <c r="Q49" s="248"/>
      <c r="R49" s="248"/>
      <c r="S49" s="248"/>
      <c r="U49" s="248"/>
      <c r="V49" s="248"/>
      <c r="X49" s="248"/>
      <c r="Y49" s="248"/>
    </row>
    <row r="50" spans="1:25">
      <c r="A50" s="390" t="s">
        <v>90</v>
      </c>
      <c r="B50" s="383"/>
      <c r="C50" s="17">
        <v>1</v>
      </c>
      <c r="D50" s="17">
        <v>35</v>
      </c>
      <c r="E50" s="148">
        <v>1937</v>
      </c>
      <c r="F50" s="14">
        <v>1202</v>
      </c>
      <c r="G50" s="147"/>
      <c r="H50" s="148">
        <f>F50+G50</f>
        <v>1202</v>
      </c>
      <c r="I50" s="30">
        <f t="shared" si="4"/>
        <v>0</v>
      </c>
      <c r="J50" s="30">
        <f>(E50*H50)/1000000</f>
        <v>2.328274</v>
      </c>
      <c r="L50" s="254"/>
      <c r="M50" s="254"/>
      <c r="N50" s="121"/>
      <c r="P50" s="248"/>
      <c r="Q50" s="248"/>
      <c r="R50" s="248"/>
      <c r="S50" s="248"/>
      <c r="U50" s="248"/>
      <c r="V50" s="248"/>
      <c r="X50" s="248"/>
      <c r="Y50" s="248"/>
    </row>
    <row r="51" spans="1:25">
      <c r="A51" s="390" t="s">
        <v>225</v>
      </c>
      <c r="B51" s="383"/>
      <c r="C51" s="288" t="s">
        <v>399</v>
      </c>
      <c r="D51" s="17"/>
      <c r="E51" s="148">
        <v>21384</v>
      </c>
      <c r="F51" s="14">
        <v>0</v>
      </c>
      <c r="G51" s="147"/>
      <c r="H51" s="148">
        <f>F51+G51</f>
        <v>0</v>
      </c>
      <c r="I51" s="30">
        <f t="shared" ref="I51" si="15">ROUND(E51*G51/1000000,1)</f>
        <v>0</v>
      </c>
      <c r="J51" s="30">
        <f>(E51*H51)/1000000</f>
        <v>0</v>
      </c>
      <c r="K51" s="256"/>
      <c r="L51" s="254"/>
      <c r="M51" s="254"/>
      <c r="N51" s="121"/>
      <c r="P51" s="248"/>
      <c r="Q51" s="248"/>
      <c r="R51" s="248"/>
      <c r="S51" s="248"/>
      <c r="U51" s="248"/>
      <c r="V51" s="248"/>
      <c r="X51" s="248"/>
      <c r="Y51" s="248"/>
    </row>
    <row r="52" spans="1:25">
      <c r="A52" s="398"/>
      <c r="B52" s="385"/>
      <c r="C52" s="422" t="s">
        <v>87</v>
      </c>
      <c r="D52" s="422"/>
      <c r="E52" s="137">
        <f>SUM(E48:E51)</f>
        <v>53957.5</v>
      </c>
      <c r="F52" s="95"/>
      <c r="G52" s="151"/>
      <c r="H52" s="150"/>
      <c r="I52" s="58">
        <f>SUM(I48:I51)</f>
        <v>0</v>
      </c>
      <c r="J52" s="97">
        <f>SUM(J48:J51)</f>
        <v>29.562896500000001</v>
      </c>
      <c r="P52" s="248"/>
      <c r="Q52" s="248"/>
      <c r="R52" s="248"/>
      <c r="S52" s="248"/>
      <c r="U52" s="248"/>
      <c r="V52" s="248"/>
      <c r="X52" s="248"/>
      <c r="Y52" s="248"/>
    </row>
    <row r="53" spans="1:25">
      <c r="A53" s="390" t="s">
        <v>297</v>
      </c>
      <c r="B53" s="383"/>
      <c r="C53" s="17">
        <v>1</v>
      </c>
      <c r="D53" s="17">
        <v>1400</v>
      </c>
      <c r="E53" s="148">
        <v>987211.59456272109</v>
      </c>
      <c r="F53" s="15">
        <v>23</v>
      </c>
      <c r="G53" s="147"/>
      <c r="H53" s="148">
        <f>F53+G53</f>
        <v>23</v>
      </c>
      <c r="I53" s="30">
        <f>ROUND(E53*G53/1000000,1)</f>
        <v>0</v>
      </c>
      <c r="J53" s="30">
        <f t="shared" ref="J53:J54" si="16">(E53*H53)/1000000</f>
        <v>22.705866674942587</v>
      </c>
      <c r="M53" s="254"/>
      <c r="N53" s="121"/>
      <c r="P53" s="248"/>
      <c r="Q53" s="248"/>
      <c r="R53" s="248"/>
      <c r="S53" s="248"/>
      <c r="U53" s="248"/>
      <c r="V53" s="248"/>
      <c r="X53" s="248"/>
      <c r="Y53" s="248"/>
    </row>
    <row r="54" spans="1:25">
      <c r="A54" s="390" t="s">
        <v>298</v>
      </c>
      <c r="B54" s="435"/>
      <c r="C54" s="17">
        <v>1</v>
      </c>
      <c r="D54" s="17">
        <v>1400</v>
      </c>
      <c r="E54" s="148">
        <v>202788.40543727888</v>
      </c>
      <c r="F54" s="15">
        <v>19</v>
      </c>
      <c r="G54" s="147"/>
      <c r="H54" s="148">
        <f>F54+G54</f>
        <v>19</v>
      </c>
      <c r="I54" s="30">
        <f>ROUND(E54*G54/1000000,1)</f>
        <v>0</v>
      </c>
      <c r="J54" s="30">
        <f t="shared" si="16"/>
        <v>3.8529797033082986</v>
      </c>
      <c r="M54" s="254"/>
      <c r="N54" s="121"/>
      <c r="P54" s="248"/>
      <c r="Q54" s="248"/>
      <c r="R54" s="248"/>
      <c r="S54" s="248"/>
      <c r="U54" s="248"/>
      <c r="V54" s="248"/>
      <c r="X54" s="248"/>
      <c r="Y54" s="248"/>
    </row>
    <row r="55" spans="1:25" ht="12.75" customHeight="1">
      <c r="A55" s="278" t="s">
        <v>394</v>
      </c>
      <c r="B55" s="274"/>
      <c r="C55" s="288" t="s">
        <v>397</v>
      </c>
      <c r="D55" s="288"/>
      <c r="E55" s="148">
        <v>162843</v>
      </c>
      <c r="F55" s="15">
        <v>0</v>
      </c>
      <c r="G55" s="147"/>
      <c r="H55" s="148">
        <f t="shared" ref="H55" si="17">F55+G55</f>
        <v>0</v>
      </c>
      <c r="I55" s="30">
        <f t="shared" ref="I55" si="18">ROUND(E55*G55/1000000,1)</f>
        <v>0</v>
      </c>
      <c r="J55" s="30">
        <f t="shared" ref="J55" si="19">(E55*H55)/1000000</f>
        <v>0</v>
      </c>
      <c r="K55" s="256"/>
      <c r="M55" s="254"/>
      <c r="N55" s="121"/>
      <c r="P55" s="248"/>
      <c r="Q55" s="248"/>
      <c r="R55" s="248"/>
      <c r="S55" s="248"/>
      <c r="U55" s="248"/>
      <c r="V55" s="248"/>
      <c r="X55" s="248"/>
      <c r="Y55" s="248"/>
    </row>
    <row r="56" spans="1:25">
      <c r="A56" s="436"/>
      <c r="B56" s="402"/>
      <c r="C56" s="32" t="s">
        <v>87</v>
      </c>
      <c r="D56" s="43"/>
      <c r="E56" s="137">
        <f>SUM(E53:E55)</f>
        <v>1352843</v>
      </c>
      <c r="F56" s="16"/>
      <c r="G56" s="151"/>
      <c r="H56" s="150"/>
      <c r="I56" s="58">
        <f>SUM(I53:I55)</f>
        <v>0</v>
      </c>
      <c r="J56" s="103">
        <f>SUM(J53:J55)</f>
        <v>26.558846378250887</v>
      </c>
      <c r="P56" s="248"/>
      <c r="Q56" s="248"/>
      <c r="R56" s="248"/>
      <c r="S56" s="248"/>
      <c r="U56" s="248"/>
      <c r="V56" s="248"/>
      <c r="X56" s="248"/>
      <c r="Y56" s="248"/>
    </row>
    <row r="57" spans="1:25">
      <c r="A57" s="390" t="s">
        <v>92</v>
      </c>
      <c r="B57" s="383"/>
      <c r="C57" s="17">
        <v>1</v>
      </c>
      <c r="D57" s="36">
        <v>1000</v>
      </c>
      <c r="E57" s="148">
        <v>574786</v>
      </c>
      <c r="F57" s="15">
        <v>10</v>
      </c>
      <c r="G57" s="147"/>
      <c r="H57" s="148">
        <f>F57+G57</f>
        <v>10</v>
      </c>
      <c r="I57" s="30">
        <f t="shared" si="4"/>
        <v>0</v>
      </c>
      <c r="J57" s="30">
        <f t="shared" ref="J57:J59" si="20">(E57*H57)/1000000</f>
        <v>5.7478600000000002</v>
      </c>
      <c r="L57" s="254"/>
      <c r="M57" s="254"/>
      <c r="N57" s="121"/>
      <c r="P57" s="248"/>
      <c r="Q57" s="248"/>
      <c r="R57" s="248"/>
      <c r="S57" s="248"/>
      <c r="U57" s="248"/>
      <c r="V57" s="248"/>
      <c r="X57" s="248"/>
      <c r="Y57" s="248"/>
    </row>
    <row r="58" spans="1:25">
      <c r="A58" s="390" t="s">
        <v>93</v>
      </c>
      <c r="B58" s="383"/>
      <c r="C58" s="17">
        <v>1</v>
      </c>
      <c r="D58" s="36">
        <v>1000</v>
      </c>
      <c r="E58" s="148">
        <v>25928</v>
      </c>
      <c r="F58" s="15">
        <v>24</v>
      </c>
      <c r="G58" s="51"/>
      <c r="H58" s="148">
        <f>F58+G58</f>
        <v>24</v>
      </c>
      <c r="I58" s="30">
        <f t="shared" si="4"/>
        <v>0</v>
      </c>
      <c r="J58" s="30">
        <f t="shared" si="20"/>
        <v>0.62227200000000005</v>
      </c>
      <c r="L58" s="254"/>
      <c r="M58" s="254"/>
      <c r="N58" s="121"/>
      <c r="P58" s="248"/>
      <c r="Q58" s="248"/>
      <c r="R58" s="248"/>
      <c r="S58" s="248"/>
      <c r="U58" s="248"/>
      <c r="V58" s="248"/>
      <c r="X58" s="248"/>
      <c r="Y58" s="248"/>
    </row>
    <row r="59" spans="1:25">
      <c r="A59" s="390" t="s">
        <v>160</v>
      </c>
      <c r="B59" s="383"/>
      <c r="C59" s="17">
        <v>1001</v>
      </c>
      <c r="D59" s="36">
        <v>5000</v>
      </c>
      <c r="E59" s="148">
        <v>2142030</v>
      </c>
      <c r="F59" s="15">
        <v>10</v>
      </c>
      <c r="G59" s="51"/>
      <c r="H59" s="148">
        <f>F59+G59</f>
        <v>10</v>
      </c>
      <c r="I59" s="30">
        <f t="shared" si="4"/>
        <v>0</v>
      </c>
      <c r="J59" s="30">
        <f t="shared" si="20"/>
        <v>21.420300000000001</v>
      </c>
      <c r="L59" s="254"/>
      <c r="M59" s="254"/>
      <c r="N59" s="121"/>
      <c r="P59" s="248"/>
      <c r="Q59" s="248"/>
      <c r="R59" s="248"/>
      <c r="S59" s="248"/>
      <c r="U59" s="248"/>
      <c r="V59" s="248"/>
      <c r="X59" s="248"/>
      <c r="Y59" s="248"/>
    </row>
    <row r="60" spans="1:25" ht="12.75" customHeight="1">
      <c r="A60" s="390" t="s">
        <v>160</v>
      </c>
      <c r="B60" s="383"/>
      <c r="C60" s="288" t="s">
        <v>398</v>
      </c>
      <c r="D60" s="85"/>
      <c r="E60" s="148">
        <v>1472252</v>
      </c>
      <c r="F60" s="15">
        <v>0</v>
      </c>
      <c r="G60" s="51"/>
      <c r="H60" s="148">
        <f>F60+G60</f>
        <v>0</v>
      </c>
      <c r="I60" s="30">
        <f t="shared" ref="I60" si="21">ROUND(E60*G60/1000000,1)</f>
        <v>0</v>
      </c>
      <c r="J60" s="30">
        <f t="shared" ref="J60" si="22">(E60*H60)/1000000</f>
        <v>0</v>
      </c>
      <c r="K60" s="256"/>
      <c r="L60" s="254"/>
      <c r="M60" s="254"/>
      <c r="N60" s="121"/>
      <c r="P60" s="248"/>
      <c r="Q60" s="248"/>
      <c r="R60" s="248"/>
      <c r="S60" s="248"/>
      <c r="U60" s="248"/>
      <c r="V60" s="248"/>
      <c r="X60" s="248"/>
      <c r="Y60" s="248"/>
    </row>
    <row r="61" spans="1:25">
      <c r="A61" s="398"/>
      <c r="B61" s="385"/>
      <c r="C61" s="422" t="s">
        <v>87</v>
      </c>
      <c r="D61" s="422"/>
      <c r="E61" s="137">
        <f>SUM(E57:E59)</f>
        <v>2742744</v>
      </c>
      <c r="F61" s="16"/>
      <c r="G61" s="151"/>
      <c r="H61" s="150"/>
      <c r="I61" s="58">
        <f>SUM(I57:I60)</f>
        <v>0</v>
      </c>
      <c r="J61" s="103">
        <f>SUM(J57:J60)</f>
        <v>27.790432000000003</v>
      </c>
      <c r="P61" s="248"/>
      <c r="Q61" s="248"/>
      <c r="R61" s="248"/>
      <c r="S61" s="248"/>
      <c r="V61" s="248"/>
      <c r="X61" s="248"/>
      <c r="Y61" s="248"/>
    </row>
    <row r="62" spans="1:25">
      <c r="A62" s="398" t="s">
        <v>190</v>
      </c>
      <c r="B62" s="385"/>
      <c r="C62" s="422"/>
      <c r="D62" s="422"/>
      <c r="E62" s="150">
        <v>4482</v>
      </c>
      <c r="F62" s="16">
        <v>1000</v>
      </c>
      <c r="G62" s="151"/>
      <c r="H62" s="150">
        <f>F62+G62</f>
        <v>1000</v>
      </c>
      <c r="I62" s="58">
        <f t="shared" si="4"/>
        <v>0</v>
      </c>
      <c r="J62" s="97">
        <f>(E62*H62)/1000000</f>
        <v>4.4820000000000002</v>
      </c>
      <c r="M62" s="254"/>
      <c r="N62" s="121"/>
      <c r="P62" s="248"/>
      <c r="Q62" s="248"/>
      <c r="R62" s="248"/>
      <c r="S62" s="248"/>
      <c r="V62" s="248"/>
      <c r="X62" s="250"/>
      <c r="Y62" s="248"/>
    </row>
    <row r="63" spans="1:25">
      <c r="A63" s="398" t="s">
        <v>378</v>
      </c>
      <c r="B63" s="385"/>
      <c r="C63" s="43">
        <v>1</v>
      </c>
      <c r="D63" s="43">
        <v>250</v>
      </c>
      <c r="E63" s="150">
        <v>26226</v>
      </c>
      <c r="F63" s="16">
        <v>400</v>
      </c>
      <c r="G63" s="151"/>
      <c r="H63" s="150">
        <f>F63+G63</f>
        <v>400</v>
      </c>
      <c r="I63" s="58">
        <f t="shared" si="4"/>
        <v>0</v>
      </c>
      <c r="J63" s="97">
        <f>(E63*H63)/1000000</f>
        <v>10.490399999999999</v>
      </c>
      <c r="M63" s="254"/>
      <c r="N63" s="121"/>
      <c r="P63" s="248"/>
      <c r="Q63" s="248"/>
      <c r="R63" s="248"/>
      <c r="S63" s="248"/>
      <c r="V63" s="248"/>
      <c r="X63" s="248"/>
      <c r="Y63" s="248"/>
    </row>
    <row r="64" spans="1:25">
      <c r="A64" s="273" t="s">
        <v>266</v>
      </c>
      <c r="B64" s="271"/>
      <c r="C64" s="43"/>
      <c r="D64" s="43"/>
      <c r="E64" s="150">
        <v>5989</v>
      </c>
      <c r="F64" s="16">
        <v>210</v>
      </c>
      <c r="G64" s="151"/>
      <c r="H64" s="150">
        <f>F64+G64</f>
        <v>210</v>
      </c>
      <c r="I64" s="58">
        <f>ROUND(E64*G64/1000000,1)</f>
        <v>0</v>
      </c>
      <c r="J64" s="97">
        <f>(E64*H64)/1000000</f>
        <v>1.25769</v>
      </c>
      <c r="M64" s="254"/>
      <c r="N64" s="121"/>
      <c r="P64" s="248"/>
      <c r="Q64" s="248"/>
      <c r="R64" s="248"/>
      <c r="S64" s="248"/>
      <c r="V64" s="248"/>
      <c r="X64" s="248"/>
      <c r="Y64" s="248"/>
    </row>
    <row r="65" spans="1:25">
      <c r="A65" s="398" t="s">
        <v>354</v>
      </c>
      <c r="B65" s="385"/>
      <c r="C65" s="402"/>
      <c r="D65" s="32"/>
      <c r="E65" s="150">
        <v>2639</v>
      </c>
      <c r="F65" s="16">
        <v>2000</v>
      </c>
      <c r="G65" s="151"/>
      <c r="H65" s="150">
        <f>+F65+G65</f>
        <v>2000</v>
      </c>
      <c r="I65" s="58">
        <f t="shared" ref="I65" si="23">ROUND(E65*G65/1000000,1)</f>
        <v>0</v>
      </c>
      <c r="J65" s="104">
        <f>(E65*H65)/1000000</f>
        <v>5.2779999999999996</v>
      </c>
      <c r="K65" s="8"/>
      <c r="M65" s="254"/>
      <c r="N65" s="121"/>
      <c r="P65" s="248"/>
      <c r="Q65" s="248"/>
      <c r="R65" s="248"/>
      <c r="S65" s="248"/>
      <c r="V65" s="248"/>
      <c r="X65" s="248"/>
      <c r="Y65" s="248"/>
    </row>
    <row r="66" spans="1:25">
      <c r="A66" s="398" t="s">
        <v>377</v>
      </c>
      <c r="B66" s="385"/>
      <c r="C66" s="385"/>
      <c r="D66" s="385"/>
      <c r="E66" s="95"/>
      <c r="F66" s="95">
        <v>280000</v>
      </c>
      <c r="G66" s="232"/>
      <c r="H66" s="150">
        <f>F66+G66</f>
        <v>280000</v>
      </c>
      <c r="I66" s="375">
        <v>10</v>
      </c>
      <c r="J66" s="233"/>
      <c r="K66" s="145"/>
      <c r="P66" s="248"/>
      <c r="Q66" s="248"/>
      <c r="R66" s="248"/>
      <c r="S66" s="248"/>
      <c r="V66" s="248"/>
      <c r="X66" s="248"/>
      <c r="Y66" s="248"/>
    </row>
    <row r="67" spans="1:25">
      <c r="A67" s="389" t="s">
        <v>79</v>
      </c>
      <c r="B67" s="454"/>
      <c r="C67" s="454"/>
      <c r="D67" s="454"/>
      <c r="E67" s="55"/>
      <c r="F67" s="36"/>
      <c r="G67" s="54"/>
      <c r="H67" s="54"/>
      <c r="I67" s="200">
        <v>-34.5</v>
      </c>
      <c r="J67" s="200"/>
      <c r="K67" s="144"/>
      <c r="P67" s="248"/>
      <c r="Q67" s="248"/>
      <c r="R67" s="248"/>
      <c r="S67" s="248"/>
      <c r="V67" s="248"/>
      <c r="X67" s="248"/>
      <c r="Y67" s="248"/>
    </row>
    <row r="68" spans="1:25">
      <c r="A68" s="118" t="s">
        <v>202</v>
      </c>
      <c r="B68" s="118"/>
      <c r="C68" s="118"/>
      <c r="D68" s="118"/>
      <c r="E68" s="101"/>
      <c r="F68" s="32"/>
      <c r="G68" s="43"/>
      <c r="H68" s="43"/>
      <c r="I68" s="103">
        <f>+I67+I66+I65+I64+I63+I62+I61+I56+I52+I47+I42+I34+I30+I26+I22+I17</f>
        <v>72.323050000000052</v>
      </c>
      <c r="J68" s="231">
        <f>+J17+J66+J65+J62+J61+J53+J52+J47+J42+J34+J30+J23+J22+J62+J63+J64</f>
        <v>2586.3122204749429</v>
      </c>
      <c r="K68" s="17"/>
      <c r="P68" s="248"/>
      <c r="Q68" s="248"/>
      <c r="R68" s="248"/>
      <c r="S68" s="248"/>
      <c r="V68" s="248"/>
      <c r="X68" s="248"/>
      <c r="Y68" s="248"/>
    </row>
    <row r="69" spans="1:25">
      <c r="A69" s="453" t="s">
        <v>273</v>
      </c>
      <c r="B69" s="407"/>
      <c r="C69" s="407"/>
      <c r="D69" s="407"/>
      <c r="E69" s="407"/>
      <c r="F69" s="407"/>
      <c r="G69" s="407"/>
      <c r="H69" s="407"/>
      <c r="I69" s="407"/>
      <c r="J69" s="247"/>
      <c r="K69" s="17"/>
      <c r="P69" s="248"/>
      <c r="Q69" s="248"/>
      <c r="R69" s="248"/>
      <c r="S69" s="248"/>
      <c r="V69" s="248"/>
      <c r="X69" s="248"/>
      <c r="Y69" s="248"/>
    </row>
    <row r="70" spans="1:25">
      <c r="A70" s="453" t="s">
        <v>299</v>
      </c>
      <c r="B70" s="407"/>
      <c r="C70" s="407"/>
      <c r="D70" s="407"/>
      <c r="E70" s="407"/>
      <c r="F70" s="407"/>
      <c r="G70" s="407"/>
      <c r="H70" s="407"/>
      <c r="I70" s="407"/>
      <c r="J70" s="247"/>
      <c r="K70" s="17"/>
      <c r="P70" s="248"/>
      <c r="Q70" s="248"/>
      <c r="R70" s="248"/>
      <c r="S70" s="248"/>
      <c r="V70" s="248"/>
      <c r="X70" s="248"/>
      <c r="Y70" s="248"/>
    </row>
    <row r="71" spans="1:25">
      <c r="A71" s="289"/>
      <c r="B71" s="281"/>
      <c r="C71" s="281"/>
      <c r="D71" s="281"/>
      <c r="E71" s="281"/>
      <c r="F71" s="281"/>
      <c r="G71" s="281"/>
      <c r="H71" s="281"/>
      <c r="I71" s="281"/>
      <c r="J71" s="247"/>
      <c r="K71" s="17"/>
      <c r="P71" s="248"/>
      <c r="Q71" s="248"/>
      <c r="R71" s="248"/>
      <c r="S71" s="248"/>
      <c r="V71" s="248"/>
      <c r="X71" s="248"/>
      <c r="Y71" s="248"/>
    </row>
    <row r="72" spans="1:25">
      <c r="A72" s="452" t="s">
        <v>321</v>
      </c>
      <c r="B72" s="405"/>
      <c r="C72" s="405"/>
      <c r="D72" s="405"/>
      <c r="E72" s="284" t="s">
        <v>78</v>
      </c>
      <c r="F72" s="284" t="s">
        <v>47</v>
      </c>
      <c r="G72" s="284" t="s">
        <v>81</v>
      </c>
      <c r="H72" s="284" t="s">
        <v>161</v>
      </c>
      <c r="I72" s="284" t="s">
        <v>18</v>
      </c>
      <c r="J72" s="288" t="s">
        <v>51</v>
      </c>
      <c r="K72" s="8"/>
      <c r="P72" s="248"/>
      <c r="Q72" s="248"/>
      <c r="R72" s="248"/>
      <c r="S72" s="248"/>
      <c r="V72" s="248"/>
      <c r="Y72" s="248"/>
    </row>
    <row r="73" spans="1:25">
      <c r="A73" s="389"/>
      <c r="B73" s="397"/>
      <c r="C73" s="397"/>
      <c r="D73" s="397"/>
      <c r="E73" s="287" t="s">
        <v>84</v>
      </c>
      <c r="F73" s="287" t="s">
        <v>85</v>
      </c>
      <c r="G73" s="287" t="s">
        <v>85</v>
      </c>
      <c r="H73" s="287" t="s">
        <v>85</v>
      </c>
      <c r="I73" s="287" t="s">
        <v>20</v>
      </c>
      <c r="J73" s="291" t="s">
        <v>86</v>
      </c>
      <c r="K73" s="9"/>
      <c r="P73" s="248"/>
      <c r="Q73" s="248"/>
      <c r="R73" s="248"/>
      <c r="S73" s="248"/>
      <c r="V73" s="248"/>
      <c r="Y73" s="248"/>
    </row>
    <row r="74" spans="1:25">
      <c r="A74" s="406" t="s">
        <v>293</v>
      </c>
      <c r="B74" s="387"/>
      <c r="C74" s="442" t="s">
        <v>117</v>
      </c>
      <c r="D74" s="443"/>
      <c r="E74" s="213">
        <v>252301</v>
      </c>
      <c r="F74" s="15">
        <v>396</v>
      </c>
      <c r="G74" s="147"/>
      <c r="H74" s="148">
        <f>F74+G74</f>
        <v>396</v>
      </c>
      <c r="I74" s="30">
        <f>ROUND(E74*G74/1000000,1)</f>
        <v>0</v>
      </c>
      <c r="J74" s="30">
        <f t="shared" ref="J74:J78" si="24">(E74*H74)/1000000</f>
        <v>99.911196000000004</v>
      </c>
      <c r="K74" s="9"/>
      <c r="L74" s="254"/>
      <c r="M74" s="121"/>
      <c r="N74" s="251"/>
      <c r="P74" s="248"/>
      <c r="Q74" s="248"/>
      <c r="R74" s="248"/>
      <c r="S74" s="248"/>
      <c r="V74" s="248"/>
      <c r="Y74" s="248"/>
    </row>
    <row r="75" spans="1:25">
      <c r="A75" s="382"/>
      <c r="B75" s="405"/>
      <c r="C75" s="440" t="s">
        <v>118</v>
      </c>
      <c r="D75" s="383"/>
      <c r="E75" s="213">
        <v>1960398</v>
      </c>
      <c r="F75" s="15">
        <v>141</v>
      </c>
      <c r="G75" s="147"/>
      <c r="H75" s="148">
        <f>F75+G75</f>
        <v>141</v>
      </c>
      <c r="I75" s="30">
        <f>ROUND(E75*G75/1000000,1)</f>
        <v>0</v>
      </c>
      <c r="J75" s="30">
        <f t="shared" si="24"/>
        <v>276.41611799999998</v>
      </c>
      <c r="K75" s="9"/>
      <c r="L75" s="254"/>
      <c r="M75" s="121"/>
      <c r="N75" s="251"/>
      <c r="P75" s="248"/>
      <c r="Q75" s="248"/>
      <c r="R75" s="248"/>
      <c r="S75" s="248"/>
      <c r="V75" s="248"/>
      <c r="Y75" s="248"/>
    </row>
    <row r="76" spans="1:25">
      <c r="C76" s="440"/>
      <c r="D76" s="383"/>
      <c r="E76" s="213"/>
      <c r="F76" s="15"/>
      <c r="G76" s="147"/>
      <c r="H76" s="148"/>
      <c r="I76" s="30"/>
      <c r="J76" s="30"/>
      <c r="K76" s="8"/>
      <c r="P76" s="248"/>
      <c r="Q76" s="248"/>
      <c r="R76" s="248"/>
      <c r="S76" s="248"/>
      <c r="V76" s="248"/>
      <c r="Y76" s="248"/>
    </row>
    <row r="77" spans="1:25">
      <c r="A77" s="391" t="s">
        <v>361</v>
      </c>
      <c r="B77" s="405"/>
      <c r="C77" s="440" t="s">
        <v>323</v>
      </c>
      <c r="D77" s="383"/>
      <c r="E77" s="213">
        <v>608982</v>
      </c>
      <c r="F77" s="15">
        <v>445</v>
      </c>
      <c r="G77" s="147">
        <v>-7</v>
      </c>
      <c r="H77" s="148">
        <f>F77+G77</f>
        <v>438</v>
      </c>
      <c r="I77" s="30">
        <f>ROUND(E77*G77/1000000,1)</f>
        <v>-4.3</v>
      </c>
      <c r="J77" s="30">
        <f t="shared" si="24"/>
        <v>266.73411599999997</v>
      </c>
      <c r="K77" s="8"/>
      <c r="L77" s="254"/>
      <c r="M77" s="121"/>
      <c r="N77" s="251"/>
      <c r="P77" s="248"/>
      <c r="Q77" s="248"/>
      <c r="R77" s="248"/>
      <c r="S77" s="248"/>
      <c r="V77" s="248"/>
      <c r="Y77" s="248"/>
    </row>
    <row r="78" spans="1:25">
      <c r="A78" s="444"/>
      <c r="B78" s="445"/>
      <c r="C78" s="440" t="s">
        <v>322</v>
      </c>
      <c r="D78" s="383"/>
      <c r="E78" s="213">
        <v>2288018</v>
      </c>
      <c r="F78" s="15">
        <v>59</v>
      </c>
      <c r="G78" s="147"/>
      <c r="H78" s="148">
        <f>F78+G78</f>
        <v>59</v>
      </c>
      <c r="I78" s="30">
        <f>ROUND(E78*G78/1000000,1)</f>
        <v>0</v>
      </c>
      <c r="J78" s="30">
        <f t="shared" si="24"/>
        <v>134.99306200000001</v>
      </c>
      <c r="K78" s="8"/>
      <c r="L78" s="254"/>
      <c r="M78" s="121"/>
      <c r="N78" s="251"/>
      <c r="P78" s="248"/>
      <c r="Q78" s="248"/>
      <c r="R78" s="248"/>
      <c r="S78" s="248"/>
      <c r="V78" s="248"/>
      <c r="Y78" s="248"/>
    </row>
    <row r="79" spans="1:25">
      <c r="A79" s="390" t="s">
        <v>79</v>
      </c>
      <c r="B79" s="383"/>
      <c r="C79" s="383"/>
      <c r="D79" s="383"/>
      <c r="E79" s="36"/>
      <c r="F79" s="36"/>
      <c r="G79" s="54"/>
      <c r="H79" s="54"/>
      <c r="I79" s="200">
        <v>8.4</v>
      </c>
      <c r="J79" s="105"/>
      <c r="K79" s="8"/>
      <c r="P79" s="248"/>
      <c r="Q79" s="248"/>
      <c r="R79" s="248"/>
      <c r="S79" s="248"/>
      <c r="Y79" s="248"/>
    </row>
    <row r="80" spans="1:25">
      <c r="A80" s="118" t="s">
        <v>217</v>
      </c>
      <c r="B80" s="118"/>
      <c r="C80" s="118"/>
      <c r="D80" s="118"/>
      <c r="E80" s="118">
        <f>SUM(E74:E79)</f>
        <v>5109699</v>
      </c>
      <c r="F80" s="118"/>
      <c r="G80" s="118" t="s">
        <v>268</v>
      </c>
      <c r="H80" s="118"/>
      <c r="I80" s="103">
        <f>SUM(I74:I79)</f>
        <v>4.1000000000000005</v>
      </c>
      <c r="J80" s="103">
        <f>SUM(J74:J78)</f>
        <v>778.05449199999998</v>
      </c>
      <c r="K80" s="145"/>
      <c r="P80" s="248"/>
      <c r="Q80" s="248"/>
      <c r="R80" s="248"/>
      <c r="S80" s="248"/>
      <c r="Y80" s="248"/>
    </row>
    <row r="81" spans="1:25">
      <c r="A81" s="452" t="s">
        <v>324</v>
      </c>
      <c r="B81" s="405"/>
      <c r="C81" s="405"/>
      <c r="D81" s="405"/>
      <c r="E81" s="405"/>
      <c r="F81" s="112" t="s">
        <v>47</v>
      </c>
      <c r="G81" s="112" t="s">
        <v>18</v>
      </c>
      <c r="H81" s="112" t="s">
        <v>162</v>
      </c>
      <c r="I81" s="112" t="s">
        <v>18</v>
      </c>
      <c r="J81" s="114" t="s">
        <v>51</v>
      </c>
      <c r="K81" s="8"/>
      <c r="P81" s="248"/>
      <c r="Q81" s="248"/>
      <c r="R81" s="248"/>
      <c r="S81" s="248"/>
      <c r="Y81" s="248"/>
    </row>
    <row r="82" spans="1:25">
      <c r="A82" s="432"/>
      <c r="B82" s="397"/>
      <c r="C82" s="397"/>
      <c r="D82" s="397"/>
      <c r="E82" s="116" t="s">
        <v>325</v>
      </c>
      <c r="F82" s="116" t="s">
        <v>94</v>
      </c>
      <c r="G82" s="116" t="s">
        <v>95</v>
      </c>
      <c r="H82" s="116" t="s">
        <v>95</v>
      </c>
      <c r="I82" s="116" t="s">
        <v>0</v>
      </c>
      <c r="J82" s="115" t="s">
        <v>326</v>
      </c>
      <c r="K82" s="9"/>
      <c r="P82" s="248"/>
      <c r="Q82" s="248"/>
      <c r="R82" s="248"/>
      <c r="S82" s="248"/>
      <c r="Y82" s="248"/>
    </row>
    <row r="83" spans="1:25" ht="14.25" customHeight="1">
      <c r="A83" s="187" t="s">
        <v>177</v>
      </c>
      <c r="B83" s="187"/>
      <c r="C83" s="188"/>
      <c r="D83" s="189"/>
      <c r="E83" s="190">
        <f>+E91</f>
        <v>9132008.5999999996</v>
      </c>
      <c r="F83" s="96">
        <v>191</v>
      </c>
      <c r="G83" s="195"/>
      <c r="H83" s="191">
        <f>F83+G83</f>
        <v>191</v>
      </c>
      <c r="I83" s="192">
        <f>ROUND(E83*G83/1000000,1)</f>
        <v>0</v>
      </c>
      <c r="J83" s="193">
        <f>E83*F83/1000000+I83</f>
        <v>1744.2136426</v>
      </c>
      <c r="K83" s="9"/>
      <c r="P83" s="248"/>
      <c r="Q83" s="248"/>
      <c r="R83" s="248"/>
      <c r="S83" s="248"/>
      <c r="Y83" s="248"/>
    </row>
    <row r="84" spans="1:25" ht="15.75">
      <c r="A84" s="428" t="s">
        <v>274</v>
      </c>
      <c r="B84" s="446"/>
      <c r="C84" s="446"/>
      <c r="D84" s="446"/>
      <c r="E84" s="158">
        <f>+E17</f>
        <v>42359</v>
      </c>
      <c r="F84" s="186">
        <f>+F17</f>
        <v>3000</v>
      </c>
      <c r="G84" s="201">
        <v>-3000</v>
      </c>
      <c r="H84" s="202">
        <f>+H17</f>
        <v>6000</v>
      </c>
      <c r="I84" s="102">
        <f>+E84*G84*0.65/1000000</f>
        <v>-82.600049999999996</v>
      </c>
      <c r="J84" s="102">
        <f>-(E84*H84*0.65)/1000000</f>
        <v>-165.20009999999999</v>
      </c>
      <c r="K84" s="8"/>
      <c r="P84" s="248"/>
      <c r="Q84" s="248"/>
      <c r="R84" s="248"/>
      <c r="S84" s="248"/>
      <c r="Y84" s="248"/>
    </row>
    <row r="85" spans="1:25">
      <c r="A85" s="428" t="s">
        <v>109</v>
      </c>
      <c r="B85" s="431"/>
      <c r="C85" s="431"/>
      <c r="D85" s="431"/>
      <c r="E85" s="158">
        <f>E116</f>
        <v>5961581.5999999996</v>
      </c>
      <c r="F85" s="158" t="s">
        <v>10</v>
      </c>
      <c r="G85" s="158"/>
      <c r="H85" s="158"/>
      <c r="I85" s="102">
        <f>I116</f>
        <v>8.7999999999999918</v>
      </c>
      <c r="J85" s="102">
        <f>J116</f>
        <v>1045.8229554</v>
      </c>
      <c r="K85" s="8"/>
      <c r="P85" s="248"/>
      <c r="Q85" s="248"/>
      <c r="R85" s="248"/>
      <c r="S85" s="248"/>
      <c r="Y85" s="248"/>
    </row>
    <row r="86" spans="1:25">
      <c r="A86" s="428" t="s">
        <v>110</v>
      </c>
      <c r="B86" s="431"/>
      <c r="C86" s="431"/>
      <c r="D86" s="431"/>
      <c r="E86" s="158">
        <f>E132</f>
        <v>2936121</v>
      </c>
      <c r="F86" s="158"/>
      <c r="G86" s="158"/>
      <c r="H86" s="158"/>
      <c r="I86" s="102">
        <f>I132</f>
        <v>14.399999999999997</v>
      </c>
      <c r="J86" s="102">
        <f>J132</f>
        <v>498.61483599999991</v>
      </c>
      <c r="K86" s="8"/>
      <c r="P86" s="248"/>
      <c r="Q86" s="248"/>
      <c r="R86" s="248"/>
      <c r="S86" s="248"/>
      <c r="Y86" s="248"/>
    </row>
    <row r="87" spans="1:25">
      <c r="A87" s="428" t="s">
        <v>111</v>
      </c>
      <c r="B87" s="431"/>
      <c r="C87" s="431"/>
      <c r="D87" s="431"/>
      <c r="E87" s="158">
        <f>+E138</f>
        <v>126123</v>
      </c>
      <c r="F87" s="158"/>
      <c r="G87" s="158"/>
      <c r="H87" s="158"/>
      <c r="I87" s="102">
        <f>+I138</f>
        <v>0</v>
      </c>
      <c r="J87" s="102">
        <f>+J138</f>
        <v>14.428240000000001</v>
      </c>
      <c r="K87" s="8"/>
      <c r="P87" s="248"/>
      <c r="Q87" s="248"/>
      <c r="R87" s="248"/>
      <c r="S87" s="248"/>
      <c r="Y87" s="248"/>
    </row>
    <row r="88" spans="1:25">
      <c r="A88" s="428" t="s">
        <v>112</v>
      </c>
      <c r="B88" s="431"/>
      <c r="C88" s="431"/>
      <c r="D88" s="431"/>
      <c r="E88" s="158">
        <f>E148</f>
        <v>64458</v>
      </c>
      <c r="F88" s="158"/>
      <c r="G88" s="158"/>
      <c r="H88" s="158"/>
      <c r="I88" s="102">
        <f>I148</f>
        <v>19.5</v>
      </c>
      <c r="J88" s="102">
        <f>J148</f>
        <v>35.8215</v>
      </c>
      <c r="K88" s="8"/>
      <c r="P88" s="248"/>
      <c r="Q88" s="248"/>
      <c r="R88" s="248"/>
      <c r="S88" s="248"/>
      <c r="Y88" s="248"/>
    </row>
    <row r="89" spans="1:25">
      <c r="A89" s="428" t="s">
        <v>108</v>
      </c>
      <c r="B89" s="431"/>
      <c r="C89" s="431"/>
      <c r="D89" s="431"/>
      <c r="E89" s="158">
        <f>+E170</f>
        <v>43725</v>
      </c>
      <c r="F89" s="158"/>
      <c r="G89" s="158"/>
      <c r="H89" s="158"/>
      <c r="I89" s="102">
        <f>+I170</f>
        <v>12.5</v>
      </c>
      <c r="J89" s="102">
        <f>+J170</f>
        <v>49.726649999999999</v>
      </c>
      <c r="K89" s="8"/>
      <c r="L89" s="145"/>
      <c r="P89" s="248"/>
      <c r="Q89" s="248"/>
      <c r="R89" s="248"/>
      <c r="S89" s="248"/>
      <c r="Y89" s="248"/>
    </row>
    <row r="90" spans="1:25">
      <c r="A90" s="441" t="s">
        <v>215</v>
      </c>
      <c r="B90" s="397"/>
      <c r="C90" s="397"/>
      <c r="D90" s="397"/>
      <c r="E90" s="397"/>
      <c r="F90" s="397"/>
      <c r="G90" s="397"/>
      <c r="H90" s="84"/>
      <c r="I90" s="38">
        <v>-37.200000000000003</v>
      </c>
      <c r="J90" s="210"/>
      <c r="K90" s="9"/>
      <c r="L90" s="145"/>
      <c r="P90" s="248"/>
      <c r="Q90" s="248"/>
      <c r="R90" s="248"/>
      <c r="S90" s="248"/>
      <c r="Y90" s="248"/>
    </row>
    <row r="91" spans="1:25">
      <c r="A91" s="438" t="s">
        <v>201</v>
      </c>
      <c r="B91" s="402"/>
      <c r="C91" s="402"/>
      <c r="D91" s="402"/>
      <c r="E91" s="21">
        <f>SUM(E85:E89)</f>
        <v>9132008.5999999996</v>
      </c>
      <c r="F91" s="159"/>
      <c r="G91" s="26"/>
      <c r="H91" s="26"/>
      <c r="I91" s="106">
        <f>SUM(I83:I90)</f>
        <v>-64.60005000000001</v>
      </c>
      <c r="J91" s="106">
        <f>SUM(J83:J90)</f>
        <v>3223.4277239999997</v>
      </c>
      <c r="K91" s="8"/>
      <c r="P91" s="248"/>
      <c r="Q91" s="248"/>
      <c r="R91" s="248"/>
      <c r="S91" s="248"/>
      <c r="Y91" s="248"/>
    </row>
    <row r="92" spans="1:25">
      <c r="A92" s="439" t="s">
        <v>273</v>
      </c>
      <c r="B92" s="387"/>
      <c r="C92" s="387"/>
      <c r="D92" s="387"/>
      <c r="E92" s="387"/>
      <c r="F92" s="387"/>
      <c r="G92" s="387"/>
      <c r="H92" s="387"/>
      <c r="I92" s="387"/>
      <c r="J92" s="367"/>
      <c r="K92" s="8"/>
      <c r="R92" s="248"/>
      <c r="S92" s="248"/>
      <c r="Y92" s="248"/>
    </row>
    <row r="93" spans="1:25">
      <c r="A93" s="160"/>
      <c r="B93" s="160"/>
      <c r="C93" s="160"/>
      <c r="D93" s="161"/>
      <c r="E93" s="161"/>
      <c r="F93" s="162"/>
      <c r="G93" s="28"/>
      <c r="H93" s="28"/>
      <c r="I93" s="89"/>
      <c r="J93" s="89"/>
      <c r="K93" s="8"/>
      <c r="R93" s="248"/>
      <c r="S93" s="248"/>
      <c r="Y93" s="248"/>
    </row>
    <row r="94" spans="1:25">
      <c r="A94" s="163" t="s">
        <v>109</v>
      </c>
      <c r="B94" s="160"/>
      <c r="C94" s="160"/>
      <c r="D94" s="161"/>
      <c r="E94" s="164"/>
      <c r="F94" s="112" t="s">
        <v>47</v>
      </c>
      <c r="G94" s="112" t="s">
        <v>96</v>
      </c>
      <c r="H94" s="112" t="s">
        <v>162</v>
      </c>
      <c r="I94" s="112" t="s">
        <v>18</v>
      </c>
      <c r="J94" s="89"/>
      <c r="K94" s="8"/>
      <c r="R94" s="248"/>
      <c r="S94" s="248"/>
    </row>
    <row r="95" spans="1:25">
      <c r="A95" s="165"/>
      <c r="B95" s="166"/>
      <c r="C95" s="166"/>
      <c r="D95" s="166"/>
      <c r="E95" s="116" t="s">
        <v>327</v>
      </c>
      <c r="F95" s="116" t="s">
        <v>94</v>
      </c>
      <c r="G95" s="116" t="s">
        <v>97</v>
      </c>
      <c r="H95" s="116" t="s">
        <v>95</v>
      </c>
      <c r="I95" s="116" t="s">
        <v>0</v>
      </c>
      <c r="J95" s="117"/>
      <c r="K95" s="8"/>
      <c r="R95" s="248"/>
      <c r="S95" s="248"/>
    </row>
    <row r="96" spans="1:25">
      <c r="A96" s="430" t="s">
        <v>98</v>
      </c>
      <c r="B96" s="387"/>
      <c r="C96" s="167" t="s">
        <v>313</v>
      </c>
      <c r="D96" s="168" t="s">
        <v>99</v>
      </c>
      <c r="E96" s="213">
        <v>297822.2</v>
      </c>
      <c r="F96" s="18">
        <v>90</v>
      </c>
      <c r="G96" s="19">
        <v>-15</v>
      </c>
      <c r="H96" s="50">
        <f>F96+G96</f>
        <v>75</v>
      </c>
      <c r="I96" s="30">
        <f>ROUND(E96*G96/1000000,1)</f>
        <v>-4.5</v>
      </c>
      <c r="J96" s="102">
        <f>E96*H96/1000000</f>
        <v>22.336665</v>
      </c>
      <c r="K96" s="240"/>
      <c r="L96" s="254"/>
      <c r="M96" s="121"/>
      <c r="N96" s="121"/>
      <c r="R96" s="248"/>
      <c r="S96" s="248"/>
    </row>
    <row r="97" spans="1:19">
      <c r="A97" s="211"/>
      <c r="B97" s="211"/>
      <c r="C97" s="167" t="s">
        <v>303</v>
      </c>
      <c r="D97" s="168" t="s">
        <v>99</v>
      </c>
      <c r="E97" s="213">
        <v>112472</v>
      </c>
      <c r="F97" s="18">
        <v>65</v>
      </c>
      <c r="G97" s="19">
        <v>10</v>
      </c>
      <c r="H97" s="50">
        <f>F97+G97</f>
        <v>75</v>
      </c>
      <c r="I97" s="30">
        <f>ROUND(E97*G97/1000000,1)</f>
        <v>1.1000000000000001</v>
      </c>
      <c r="J97" s="102">
        <f>E97*H97/1000000</f>
        <v>8.4353999999999996</v>
      </c>
      <c r="K97" s="240"/>
      <c r="L97" s="254"/>
      <c r="M97" s="121"/>
      <c r="N97" s="121"/>
      <c r="R97" s="248"/>
      <c r="S97" s="248"/>
    </row>
    <row r="98" spans="1:19">
      <c r="A98" s="166"/>
      <c r="B98" s="429" t="s">
        <v>87</v>
      </c>
      <c r="C98" s="402"/>
      <c r="D98" s="402"/>
      <c r="E98" s="214">
        <f>SUM(E96:E97)</f>
        <v>410294.2</v>
      </c>
      <c r="F98" s="20"/>
      <c r="G98" s="20"/>
      <c r="H98" s="169"/>
      <c r="I98" s="109">
        <f>SUM(I96:I97)</f>
        <v>-3.4</v>
      </c>
      <c r="J98" s="109">
        <f>SUM(J96:J97)</f>
        <v>30.772064999999998</v>
      </c>
      <c r="K98" s="241"/>
      <c r="M98" s="121"/>
      <c r="N98" s="121"/>
      <c r="R98" s="248"/>
      <c r="S98" s="248"/>
    </row>
    <row r="99" spans="1:19">
      <c r="A99" s="430" t="s">
        <v>100</v>
      </c>
      <c r="B99" s="387"/>
      <c r="C99" s="167" t="s">
        <v>313</v>
      </c>
      <c r="D99" s="168" t="s">
        <v>99</v>
      </c>
      <c r="E99" s="213">
        <v>226911</v>
      </c>
      <c r="F99" s="18">
        <v>0</v>
      </c>
      <c r="G99" s="19"/>
      <c r="H99" s="50">
        <f>F99+G99</f>
        <v>0</v>
      </c>
      <c r="I99" s="30">
        <f>ROUND(E99*G99/1000000,1)</f>
        <v>0</v>
      </c>
      <c r="J99" s="102">
        <f>E99*H99/1000000</f>
        <v>0</v>
      </c>
      <c r="L99" s="254"/>
      <c r="M99" s="121"/>
      <c r="N99" s="121"/>
      <c r="R99" s="248"/>
      <c r="S99" s="248"/>
    </row>
    <row r="100" spans="1:19">
      <c r="A100" s="211"/>
      <c r="B100" s="211"/>
      <c r="C100" s="167" t="s">
        <v>303</v>
      </c>
      <c r="D100" s="168" t="s">
        <v>99</v>
      </c>
      <c r="E100" s="213">
        <v>99299.6</v>
      </c>
      <c r="F100" s="18">
        <v>0</v>
      </c>
      <c r="G100" s="19"/>
      <c r="H100" s="50">
        <f>F100+G100</f>
        <v>0</v>
      </c>
      <c r="I100" s="30">
        <f>ROUND(E100*G100/1000000,1)</f>
        <v>0</v>
      </c>
      <c r="J100" s="102">
        <f>E100*H100/1000000</f>
        <v>0</v>
      </c>
      <c r="L100" s="254"/>
      <c r="M100" s="121"/>
      <c r="N100" s="121"/>
      <c r="R100" s="248"/>
      <c r="S100" s="248"/>
    </row>
    <row r="101" spans="1:19">
      <c r="A101" s="166"/>
      <c r="B101" s="429" t="s">
        <v>87</v>
      </c>
      <c r="C101" s="402"/>
      <c r="D101" s="402"/>
      <c r="E101" s="214">
        <f>SUM(E99:E100)</f>
        <v>326210.59999999998</v>
      </c>
      <c r="F101" s="20"/>
      <c r="G101" s="20"/>
      <c r="H101" s="169"/>
      <c r="I101" s="109">
        <f>SUM(I99:I100)</f>
        <v>0</v>
      </c>
      <c r="J101" s="109">
        <f>SUM(J99:J100)</f>
        <v>0</v>
      </c>
      <c r="M101" s="121"/>
      <c r="N101" s="121"/>
      <c r="S101" s="250"/>
    </row>
    <row r="102" spans="1:19">
      <c r="A102" s="430" t="s">
        <v>101</v>
      </c>
      <c r="B102" s="387"/>
      <c r="C102" s="167" t="s">
        <v>313</v>
      </c>
      <c r="D102" s="168" t="s">
        <v>99</v>
      </c>
      <c r="E102" s="213">
        <v>472616.2</v>
      </c>
      <c r="F102" s="18">
        <v>124</v>
      </c>
      <c r="G102" s="19">
        <v>-14</v>
      </c>
      <c r="H102" s="50">
        <f>F102+G102</f>
        <v>110</v>
      </c>
      <c r="I102" s="30">
        <f>ROUND(E102*G102/1000000,1)</f>
        <v>-6.6</v>
      </c>
      <c r="J102" s="102">
        <f>E102*H102/1000000</f>
        <v>51.987782000000003</v>
      </c>
      <c r="L102" s="254"/>
      <c r="M102" s="121"/>
      <c r="N102" s="121"/>
    </row>
    <row r="103" spans="1:19">
      <c r="A103" s="211"/>
      <c r="B103" s="211"/>
      <c r="C103" s="167" t="s">
        <v>303</v>
      </c>
      <c r="D103" s="168" t="s">
        <v>99</v>
      </c>
      <c r="E103" s="213">
        <v>141734</v>
      </c>
      <c r="F103" s="18">
        <v>75</v>
      </c>
      <c r="G103" s="19">
        <v>35</v>
      </c>
      <c r="H103" s="50">
        <f>F103+G103</f>
        <v>110</v>
      </c>
      <c r="I103" s="30">
        <f>ROUND(E103*G103/1000000,1)</f>
        <v>5</v>
      </c>
      <c r="J103" s="102">
        <f>E103*H103/1000000</f>
        <v>15.59074</v>
      </c>
      <c r="L103" s="254"/>
      <c r="M103" s="121"/>
      <c r="N103" s="121"/>
    </row>
    <row r="104" spans="1:19">
      <c r="A104" s="166"/>
      <c r="B104" s="285" t="s">
        <v>87</v>
      </c>
      <c r="C104" s="277"/>
      <c r="D104" s="277"/>
      <c r="E104" s="214">
        <f>SUM(E102:E103)</f>
        <v>614350.19999999995</v>
      </c>
      <c r="F104" s="20"/>
      <c r="G104" s="20"/>
      <c r="H104" s="169"/>
      <c r="I104" s="109">
        <f>SUM(I102:I103)</f>
        <v>-1.5999999999999996</v>
      </c>
      <c r="J104" s="109">
        <f>SUM(J102:J103)</f>
        <v>67.578522000000007</v>
      </c>
      <c r="M104" s="121"/>
      <c r="N104" s="121"/>
    </row>
    <row r="105" spans="1:19">
      <c r="A105" s="430" t="s">
        <v>102</v>
      </c>
      <c r="B105" s="387"/>
      <c r="C105" s="167" t="s">
        <v>313</v>
      </c>
      <c r="D105" s="168" t="s">
        <v>99</v>
      </c>
      <c r="E105" s="213">
        <v>354037.6</v>
      </c>
      <c r="F105" s="18">
        <v>124</v>
      </c>
      <c r="G105" s="19">
        <v>-14</v>
      </c>
      <c r="H105" s="50">
        <f>F105+G105</f>
        <v>110</v>
      </c>
      <c r="I105" s="30">
        <f>ROUND(E105*G105/1000000,1)</f>
        <v>-5</v>
      </c>
      <c r="J105" s="102">
        <f>E105*H105/1000000</f>
        <v>38.944136</v>
      </c>
      <c r="L105" s="254"/>
      <c r="M105" s="121"/>
      <c r="N105" s="121"/>
    </row>
    <row r="106" spans="1:19">
      <c r="A106" s="211"/>
      <c r="B106" s="211"/>
      <c r="C106" s="167" t="s">
        <v>303</v>
      </c>
      <c r="D106" s="168" t="s">
        <v>99</v>
      </c>
      <c r="E106" s="213">
        <v>126034.4</v>
      </c>
      <c r="F106" s="18">
        <v>75</v>
      </c>
      <c r="G106" s="19">
        <v>35</v>
      </c>
      <c r="H106" s="50">
        <f>F106+G106</f>
        <v>110</v>
      </c>
      <c r="I106" s="30">
        <f>ROUND(E106*G106/1000000,1)</f>
        <v>4.4000000000000004</v>
      </c>
      <c r="J106" s="102">
        <f>E106*H106/1000000</f>
        <v>13.863784000000001</v>
      </c>
      <c r="L106" s="254"/>
      <c r="M106" s="121"/>
      <c r="N106" s="121"/>
    </row>
    <row r="107" spans="1:19">
      <c r="A107" s="166"/>
      <c r="B107" s="429" t="s">
        <v>87</v>
      </c>
      <c r="C107" s="402"/>
      <c r="D107" s="402"/>
      <c r="E107" s="214">
        <f>SUM(E105:E106)</f>
        <v>480072</v>
      </c>
      <c r="F107" s="20"/>
      <c r="G107" s="20"/>
      <c r="H107" s="169"/>
      <c r="I107" s="109">
        <f>SUM(I105:I106)</f>
        <v>-0.59999999999999964</v>
      </c>
      <c r="J107" s="109">
        <f>SUM(J105:J106)</f>
        <v>52.807920000000003</v>
      </c>
      <c r="L107" s="145"/>
      <c r="M107" s="121"/>
      <c r="N107" s="121"/>
    </row>
    <row r="108" spans="1:19">
      <c r="A108" s="430" t="s">
        <v>103</v>
      </c>
      <c r="B108" s="387"/>
      <c r="C108" s="167" t="s">
        <v>313</v>
      </c>
      <c r="D108" s="168" t="s">
        <v>99</v>
      </c>
      <c r="E108" s="213">
        <v>2819575.4</v>
      </c>
      <c r="F108" s="18">
        <v>233</v>
      </c>
      <c r="G108" s="19">
        <v>-23</v>
      </c>
      <c r="H108" s="50">
        <f>F108+G108</f>
        <v>210</v>
      </c>
      <c r="I108" s="30">
        <f>ROUND(E108*G108/1000000,1)</f>
        <v>-64.900000000000006</v>
      </c>
      <c r="J108" s="102">
        <f>E108*H108/1000000</f>
        <v>592.11083399999995</v>
      </c>
      <c r="L108" s="254"/>
      <c r="M108" s="121"/>
      <c r="N108" s="121"/>
    </row>
    <row r="109" spans="1:19">
      <c r="A109" s="211"/>
      <c r="B109" s="211"/>
      <c r="C109" s="167" t="s">
        <v>303</v>
      </c>
      <c r="D109" s="168" t="s">
        <v>99</v>
      </c>
      <c r="E109" s="213">
        <v>490931.8</v>
      </c>
      <c r="F109" s="18">
        <v>75</v>
      </c>
      <c r="G109" s="19">
        <v>135</v>
      </c>
      <c r="H109" s="50">
        <f>F109+G109</f>
        <v>210</v>
      </c>
      <c r="I109" s="30">
        <f>ROUND(E109*G109/1000000,1)</f>
        <v>66.3</v>
      </c>
      <c r="J109" s="102">
        <f>E109*H109/1000000</f>
        <v>103.09567800000001</v>
      </c>
      <c r="L109" s="254"/>
      <c r="M109" s="121"/>
      <c r="N109" s="121"/>
    </row>
    <row r="110" spans="1:19">
      <c r="A110" s="166"/>
      <c r="B110" s="429" t="s">
        <v>87</v>
      </c>
      <c r="C110" s="402"/>
      <c r="D110" s="402"/>
      <c r="E110" s="214">
        <f>SUM(E108:E109)</f>
        <v>3310507.1999999997</v>
      </c>
      <c r="F110" s="20"/>
      <c r="G110" s="20"/>
      <c r="H110" s="169"/>
      <c r="I110" s="109">
        <f>SUM(I108:I109)</f>
        <v>1.3999999999999915</v>
      </c>
      <c r="J110" s="109">
        <f>SUM(J108:J109)</f>
        <v>695.20651199999998</v>
      </c>
      <c r="M110" s="121"/>
      <c r="N110" s="121"/>
    </row>
    <row r="111" spans="1:19">
      <c r="A111" s="430" t="s">
        <v>104</v>
      </c>
      <c r="B111" s="387"/>
      <c r="C111" s="167" t="s">
        <v>313</v>
      </c>
      <c r="D111" s="168" t="s">
        <v>99</v>
      </c>
      <c r="E111" s="213">
        <v>534536</v>
      </c>
      <c r="F111" s="18">
        <v>261</v>
      </c>
      <c r="G111" s="19">
        <v>-25</v>
      </c>
      <c r="H111" s="50">
        <f>F111+G111</f>
        <v>236</v>
      </c>
      <c r="I111" s="30">
        <f>ROUND(E111*G111/1000000,1)</f>
        <v>-13.4</v>
      </c>
      <c r="J111" s="102">
        <f>E111*H111/1000000</f>
        <v>126.150496</v>
      </c>
      <c r="L111" s="254"/>
      <c r="M111" s="121"/>
      <c r="N111" s="121"/>
    </row>
    <row r="112" spans="1:19">
      <c r="A112" s="211"/>
      <c r="B112" s="211"/>
      <c r="C112" s="167" t="s">
        <v>303</v>
      </c>
      <c r="D112" s="168" t="s">
        <v>99</v>
      </c>
      <c r="E112" s="213">
        <v>167548.4</v>
      </c>
      <c r="F112" s="18">
        <v>75</v>
      </c>
      <c r="G112" s="19">
        <v>161</v>
      </c>
      <c r="H112" s="50">
        <f>F112+G112</f>
        <v>236</v>
      </c>
      <c r="I112" s="30">
        <f>ROUND(E112*G112/1000000,1)</f>
        <v>27</v>
      </c>
      <c r="J112" s="102">
        <f>E112*H112/1000000</f>
        <v>39.541422400000002</v>
      </c>
      <c r="L112" s="254"/>
      <c r="M112" s="121"/>
      <c r="N112" s="121"/>
    </row>
    <row r="113" spans="1:14">
      <c r="A113" s="166"/>
      <c r="B113" s="285" t="s">
        <v>87</v>
      </c>
      <c r="C113" s="277"/>
      <c r="D113" s="277"/>
      <c r="E113" s="214">
        <f>SUM(E111:E112)</f>
        <v>702084.4</v>
      </c>
      <c r="F113" s="20"/>
      <c r="G113" s="20"/>
      <c r="H113" s="169"/>
      <c r="I113" s="109">
        <f>SUM(I111:I112)</f>
        <v>13.6</v>
      </c>
      <c r="J113" s="109">
        <f>SUM(J111:J112)</f>
        <v>165.69191840000002</v>
      </c>
      <c r="M113" s="121"/>
      <c r="N113" s="121"/>
    </row>
    <row r="114" spans="1:14">
      <c r="A114" s="430" t="s">
        <v>105</v>
      </c>
      <c r="B114" s="387"/>
      <c r="C114" s="167" t="s">
        <v>179</v>
      </c>
      <c r="D114" s="168" t="s">
        <v>99</v>
      </c>
      <c r="E114" s="213">
        <v>118063</v>
      </c>
      <c r="F114" s="18">
        <v>291</v>
      </c>
      <c r="G114" s="19">
        <v>-5</v>
      </c>
      <c r="H114" s="50">
        <f>F114+G114</f>
        <v>286</v>
      </c>
      <c r="I114" s="30">
        <f>ROUND(E114*G114/1000000,1)</f>
        <v>-0.6</v>
      </c>
      <c r="J114" s="102">
        <f>E114*H114/1000000</f>
        <v>33.766018000000003</v>
      </c>
      <c r="L114" s="254"/>
      <c r="M114" s="121"/>
      <c r="N114" s="121"/>
    </row>
    <row r="115" spans="1:14">
      <c r="A115" s="166"/>
      <c r="B115" s="429" t="s">
        <v>87</v>
      </c>
      <c r="C115" s="402"/>
      <c r="D115" s="402"/>
      <c r="E115" s="214">
        <f>SUM(E114:E114)</f>
        <v>118063</v>
      </c>
      <c r="F115" s="23"/>
      <c r="G115" s="23"/>
      <c r="H115" s="23"/>
      <c r="I115" s="110">
        <f>SUM(I114)</f>
        <v>-0.6</v>
      </c>
      <c r="J115" s="110">
        <f>SUM(J114:J114)</f>
        <v>33.766018000000003</v>
      </c>
      <c r="M115" s="121"/>
      <c r="N115" s="121"/>
    </row>
    <row r="116" spans="1:14" ht="15.75" customHeight="1">
      <c r="A116" s="438" t="s">
        <v>126</v>
      </c>
      <c r="B116" s="402"/>
      <c r="C116" s="402"/>
      <c r="D116" s="402"/>
      <c r="E116" s="21">
        <f>+E98+E101+E104+E107+E110+E113+E115</f>
        <v>5961581.5999999996</v>
      </c>
      <c r="F116" s="20"/>
      <c r="G116" s="26"/>
      <c r="H116" s="26"/>
      <c r="I116" s="91">
        <f>+I98+I101+I104+I107+I110+I113+I115</f>
        <v>8.7999999999999918</v>
      </c>
      <c r="J116" s="91">
        <f>+J98+J101+J104+J107+J110+J113+J115</f>
        <v>1045.8229554</v>
      </c>
      <c r="K116" s="8"/>
      <c r="M116" s="121"/>
      <c r="N116" s="121"/>
    </row>
    <row r="117" spans="1:14">
      <c r="A117" s="160"/>
      <c r="B117" s="160"/>
      <c r="C117" s="160"/>
      <c r="D117" s="168"/>
      <c r="E117" s="29"/>
      <c r="F117" s="57"/>
      <c r="G117" s="28"/>
      <c r="H117" s="28"/>
      <c r="I117" s="92"/>
      <c r="J117" s="92"/>
      <c r="K117" s="8"/>
      <c r="M117" s="121"/>
      <c r="N117" s="121"/>
    </row>
    <row r="118" spans="1:14">
      <c r="A118" s="437" t="s">
        <v>110</v>
      </c>
      <c r="B118" s="405"/>
      <c r="C118" s="405"/>
      <c r="D118" s="405"/>
      <c r="E118" s="112"/>
      <c r="F118" s="112" t="s">
        <v>47</v>
      </c>
      <c r="G118" s="112" t="s">
        <v>96</v>
      </c>
      <c r="H118" s="112" t="s">
        <v>162</v>
      </c>
      <c r="I118" s="112" t="s">
        <v>18</v>
      </c>
      <c r="J118" s="107"/>
      <c r="K118" s="208"/>
      <c r="M118" s="121"/>
      <c r="N118" s="121"/>
    </row>
    <row r="119" spans="1:14">
      <c r="A119" s="432"/>
      <c r="B119" s="397"/>
      <c r="C119" s="397"/>
      <c r="D119" s="397"/>
      <c r="E119" s="116" t="s">
        <v>327</v>
      </c>
      <c r="F119" s="116" t="s">
        <v>94</v>
      </c>
      <c r="G119" s="116" t="s">
        <v>97</v>
      </c>
      <c r="H119" s="116" t="s">
        <v>95</v>
      </c>
      <c r="I119" s="116" t="s">
        <v>0</v>
      </c>
      <c r="J119" s="108"/>
      <c r="K119" s="9"/>
      <c r="M119" s="121"/>
      <c r="N119" s="121"/>
    </row>
    <row r="120" spans="1:14">
      <c r="A120" s="428" t="s">
        <v>98</v>
      </c>
      <c r="B120" s="407"/>
      <c r="C120" s="167" t="s">
        <v>222</v>
      </c>
      <c r="D120" s="168" t="s">
        <v>224</v>
      </c>
      <c r="E120" s="213">
        <v>1155893</v>
      </c>
      <c r="F120" s="18">
        <v>123</v>
      </c>
      <c r="G120" s="19">
        <f>-13+17</f>
        <v>4</v>
      </c>
      <c r="H120" s="50">
        <f t="shared" ref="H120:H130" si="25">F120+G120</f>
        <v>127</v>
      </c>
      <c r="I120" s="30">
        <f t="shared" ref="I120:I130" si="26">ROUND(E120*G120/1000000,1)</f>
        <v>4.5999999999999996</v>
      </c>
      <c r="J120" s="102">
        <f>E120*H120/1000000</f>
        <v>146.79841099999999</v>
      </c>
      <c r="K120" s="9"/>
      <c r="L120" s="254"/>
      <c r="M120" s="121"/>
      <c r="N120" s="121"/>
    </row>
    <row r="121" spans="1:14">
      <c r="A121" s="428"/>
      <c r="B121" s="407"/>
      <c r="C121" s="167" t="s">
        <v>223</v>
      </c>
      <c r="D121" s="168" t="s">
        <v>224</v>
      </c>
      <c r="E121" s="213">
        <v>113461</v>
      </c>
      <c r="F121" s="18">
        <v>102</v>
      </c>
      <c r="G121" s="19">
        <f>8+17</f>
        <v>25</v>
      </c>
      <c r="H121" s="50">
        <f t="shared" si="25"/>
        <v>127</v>
      </c>
      <c r="I121" s="30">
        <f t="shared" si="26"/>
        <v>2.8</v>
      </c>
      <c r="J121" s="102">
        <f t="shared" ref="J121:J131" si="27">E121*H121/1000000</f>
        <v>14.409547</v>
      </c>
      <c r="K121" s="9"/>
      <c r="L121" s="254"/>
      <c r="M121" s="121"/>
      <c r="N121" s="121"/>
    </row>
    <row r="122" spans="1:14">
      <c r="A122" s="428" t="s">
        <v>100</v>
      </c>
      <c r="B122" s="407"/>
      <c r="C122" s="167" t="s">
        <v>222</v>
      </c>
      <c r="D122" s="168" t="s">
        <v>224</v>
      </c>
      <c r="E122" s="213">
        <v>18172</v>
      </c>
      <c r="F122" s="18">
        <v>175</v>
      </c>
      <c r="G122" s="19">
        <f>0+17</f>
        <v>17</v>
      </c>
      <c r="H122" s="50">
        <f t="shared" si="25"/>
        <v>192</v>
      </c>
      <c r="I122" s="30">
        <f t="shared" si="26"/>
        <v>0.3</v>
      </c>
      <c r="J122" s="102">
        <f t="shared" si="27"/>
        <v>3.4890240000000001</v>
      </c>
      <c r="K122" s="9"/>
      <c r="L122" s="254"/>
      <c r="M122" s="121"/>
      <c r="N122" s="121"/>
    </row>
    <row r="123" spans="1:14">
      <c r="A123" s="428"/>
      <c r="B123" s="407"/>
      <c r="C123" s="167" t="s">
        <v>223</v>
      </c>
      <c r="D123" s="168" t="s">
        <v>224</v>
      </c>
      <c r="E123" s="213">
        <v>0</v>
      </c>
      <c r="F123" s="18">
        <v>152</v>
      </c>
      <c r="G123" s="19">
        <f>23+17</f>
        <v>40</v>
      </c>
      <c r="H123" s="50">
        <f>F123+G123</f>
        <v>192</v>
      </c>
      <c r="I123" s="30">
        <f>ROUND(E123*G123/1000000,1)</f>
        <v>0</v>
      </c>
      <c r="J123" s="102">
        <f t="shared" si="27"/>
        <v>0</v>
      </c>
      <c r="K123" s="9"/>
      <c r="L123" s="254"/>
      <c r="M123" s="121"/>
      <c r="N123" s="121"/>
    </row>
    <row r="124" spans="1:14">
      <c r="A124" s="428" t="s">
        <v>101</v>
      </c>
      <c r="B124" s="407"/>
      <c r="C124" s="167" t="s">
        <v>222</v>
      </c>
      <c r="D124" s="168" t="s">
        <v>224</v>
      </c>
      <c r="E124" s="213">
        <v>1006197</v>
      </c>
      <c r="F124" s="18">
        <v>175</v>
      </c>
      <c r="G124" s="19">
        <f>17</f>
        <v>17</v>
      </c>
      <c r="H124" s="50">
        <f t="shared" si="25"/>
        <v>192</v>
      </c>
      <c r="I124" s="30">
        <f t="shared" si="26"/>
        <v>17.100000000000001</v>
      </c>
      <c r="J124" s="102">
        <f t="shared" si="27"/>
        <v>193.18982399999999</v>
      </c>
      <c r="K124" s="9"/>
      <c r="L124" s="254"/>
      <c r="M124" s="121"/>
      <c r="N124" s="121"/>
    </row>
    <row r="125" spans="1:14">
      <c r="A125" s="428"/>
      <c r="B125" s="407"/>
      <c r="C125" s="167" t="s">
        <v>223</v>
      </c>
      <c r="D125" s="168" t="s">
        <v>224</v>
      </c>
      <c r="E125" s="213">
        <v>71643</v>
      </c>
      <c r="F125" s="18">
        <v>152</v>
      </c>
      <c r="G125" s="19">
        <f>23+17</f>
        <v>40</v>
      </c>
      <c r="H125" s="50">
        <f t="shared" si="25"/>
        <v>192</v>
      </c>
      <c r="I125" s="30">
        <f t="shared" si="26"/>
        <v>2.9</v>
      </c>
      <c r="J125" s="102">
        <f t="shared" si="27"/>
        <v>13.755456000000001</v>
      </c>
      <c r="K125" s="9"/>
      <c r="L125" s="254"/>
      <c r="M125" s="121"/>
      <c r="N125" s="121"/>
    </row>
    <row r="126" spans="1:14">
      <c r="A126" s="428" t="s">
        <v>102</v>
      </c>
      <c r="B126" s="407"/>
      <c r="C126" s="167" t="s">
        <v>222</v>
      </c>
      <c r="D126" s="168" t="s">
        <v>224</v>
      </c>
      <c r="E126" s="213">
        <v>414757</v>
      </c>
      <c r="F126" s="18">
        <v>246</v>
      </c>
      <c r="G126" s="19">
        <f>-36+17</f>
        <v>-19</v>
      </c>
      <c r="H126" s="50">
        <f t="shared" si="25"/>
        <v>227</v>
      </c>
      <c r="I126" s="30">
        <f t="shared" si="26"/>
        <v>-7.9</v>
      </c>
      <c r="J126" s="102">
        <f t="shared" si="27"/>
        <v>94.149839</v>
      </c>
      <c r="K126" s="9"/>
      <c r="L126" s="254"/>
      <c r="M126" s="121"/>
      <c r="N126" s="121"/>
    </row>
    <row r="127" spans="1:14">
      <c r="A127" s="428"/>
      <c r="B127" s="407"/>
      <c r="C127" s="167" t="s">
        <v>223</v>
      </c>
      <c r="D127" s="168" t="s">
        <v>224</v>
      </c>
      <c r="E127" s="213">
        <v>3715</v>
      </c>
      <c r="F127" s="18">
        <v>221</v>
      </c>
      <c r="G127" s="19">
        <f>-11+17</f>
        <v>6</v>
      </c>
      <c r="H127" s="50">
        <f t="shared" si="25"/>
        <v>227</v>
      </c>
      <c r="I127" s="30">
        <f t="shared" si="26"/>
        <v>0</v>
      </c>
      <c r="J127" s="102">
        <f t="shared" si="27"/>
        <v>0.84330499999999997</v>
      </c>
      <c r="K127" s="9"/>
      <c r="L127" s="254"/>
      <c r="M127" s="121"/>
      <c r="N127" s="121"/>
    </row>
    <row r="128" spans="1:14">
      <c r="A128" s="428" t="s">
        <v>103</v>
      </c>
      <c r="B128" s="407"/>
      <c r="C128" s="167" t="s">
        <v>222</v>
      </c>
      <c r="D128" s="168" t="s">
        <v>224</v>
      </c>
      <c r="E128" s="213">
        <v>147420</v>
      </c>
      <c r="F128" s="18">
        <v>246</v>
      </c>
      <c r="G128" s="19">
        <f>-36</f>
        <v>-36</v>
      </c>
      <c r="H128" s="50">
        <f t="shared" si="25"/>
        <v>210</v>
      </c>
      <c r="I128" s="30">
        <f t="shared" si="26"/>
        <v>-5.3</v>
      </c>
      <c r="J128" s="102">
        <f t="shared" si="27"/>
        <v>30.958200000000001</v>
      </c>
      <c r="K128" s="9"/>
      <c r="L128" s="254"/>
      <c r="M128" s="121"/>
      <c r="N128" s="121"/>
    </row>
    <row r="129" spans="1:14">
      <c r="A129" s="428"/>
      <c r="B129" s="407"/>
      <c r="C129" s="167" t="s">
        <v>223</v>
      </c>
      <c r="D129" s="168" t="s">
        <v>224</v>
      </c>
      <c r="E129" s="213">
        <v>1901</v>
      </c>
      <c r="F129" s="18">
        <v>221</v>
      </c>
      <c r="G129" s="19">
        <f>-11</f>
        <v>-11</v>
      </c>
      <c r="H129" s="50">
        <f t="shared" si="25"/>
        <v>210</v>
      </c>
      <c r="I129" s="30">
        <f t="shared" si="26"/>
        <v>0</v>
      </c>
      <c r="J129" s="102">
        <f t="shared" si="27"/>
        <v>0.39921000000000001</v>
      </c>
      <c r="K129" s="9"/>
      <c r="L129" s="254"/>
      <c r="M129" s="121"/>
      <c r="N129" s="121"/>
    </row>
    <row r="130" spans="1:14">
      <c r="A130" s="428" t="s">
        <v>380</v>
      </c>
      <c r="B130" s="407"/>
      <c r="C130" s="167" t="s">
        <v>222</v>
      </c>
      <c r="D130" s="168" t="s">
        <v>224</v>
      </c>
      <c r="E130" s="213">
        <v>2962</v>
      </c>
      <c r="F130" s="18">
        <v>246</v>
      </c>
      <c r="G130" s="19">
        <f>-36</f>
        <v>-36</v>
      </c>
      <c r="H130" s="50">
        <f t="shared" si="25"/>
        <v>210</v>
      </c>
      <c r="I130" s="30">
        <f t="shared" si="26"/>
        <v>-0.1</v>
      </c>
      <c r="J130" s="102">
        <f t="shared" si="27"/>
        <v>0.62202000000000002</v>
      </c>
      <c r="K130" s="9"/>
      <c r="L130" s="254"/>
      <c r="M130" s="121"/>
      <c r="N130" s="121"/>
    </row>
    <row r="131" spans="1:14">
      <c r="A131" s="428"/>
      <c r="B131" s="407"/>
      <c r="C131" s="167" t="s">
        <v>223</v>
      </c>
      <c r="D131" s="168" t="s">
        <v>224</v>
      </c>
      <c r="E131" s="213">
        <v>0</v>
      </c>
      <c r="F131" s="18">
        <v>221</v>
      </c>
      <c r="G131" s="19">
        <f>-11</f>
        <v>-11</v>
      </c>
      <c r="H131" s="50">
        <f>F131+G131</f>
        <v>210</v>
      </c>
      <c r="I131" s="30">
        <f>ROUND(E131*G131/1000000,1)</f>
        <v>0</v>
      </c>
      <c r="J131" s="102">
        <f t="shared" si="27"/>
        <v>0</v>
      </c>
      <c r="K131" s="9"/>
      <c r="L131" s="254"/>
      <c r="M131" s="121"/>
      <c r="N131" s="121"/>
    </row>
    <row r="132" spans="1:14">
      <c r="A132" s="282" t="s">
        <v>127</v>
      </c>
      <c r="B132" s="275"/>
      <c r="C132" s="277"/>
      <c r="D132" s="277"/>
      <c r="E132" s="21">
        <f>SUM(E120:E131)</f>
        <v>2936121</v>
      </c>
      <c r="F132" s="25"/>
      <c r="G132" s="111">
        <f>+I132*1000000/E132</f>
        <v>4.9044300285989566</v>
      </c>
      <c r="H132" s="26"/>
      <c r="I132" s="111">
        <f>SUM(I120:I131)</f>
        <v>14.399999999999997</v>
      </c>
      <c r="J132" s="111">
        <f>SUM(J120:J131)</f>
        <v>498.61483599999991</v>
      </c>
      <c r="K132" s="8"/>
      <c r="L132" s="145"/>
      <c r="M132" s="121"/>
      <c r="N132" s="121"/>
    </row>
    <row r="133" spans="1:14">
      <c r="A133" s="160"/>
      <c r="B133" s="160"/>
      <c r="C133" s="160"/>
      <c r="D133" s="168"/>
      <c r="E133" s="27"/>
      <c r="F133" s="18"/>
      <c r="G133" s="28"/>
      <c r="H133" s="28"/>
      <c r="I133" s="29"/>
      <c r="J133" s="90"/>
      <c r="K133" s="8"/>
      <c r="L133" s="145"/>
      <c r="M133" s="121"/>
      <c r="N133" s="121"/>
    </row>
    <row r="134" spans="1:14">
      <c r="A134" s="437" t="s">
        <v>111</v>
      </c>
      <c r="B134" s="405"/>
      <c r="C134" s="405"/>
      <c r="D134" s="405"/>
      <c r="E134" s="57"/>
      <c r="F134" s="35" t="s">
        <v>47</v>
      </c>
      <c r="G134" s="57" t="s">
        <v>96</v>
      </c>
      <c r="H134" s="35" t="s">
        <v>162</v>
      </c>
      <c r="I134" s="35" t="s">
        <v>18</v>
      </c>
      <c r="J134" s="107"/>
      <c r="K134" s="8"/>
      <c r="L134" s="145"/>
      <c r="M134" s="121"/>
      <c r="N134" s="121"/>
    </row>
    <row r="135" spans="1:14">
      <c r="A135" s="432"/>
      <c r="B135" s="397"/>
      <c r="C135" s="397"/>
      <c r="D135" s="397"/>
      <c r="E135" s="22" t="s">
        <v>327</v>
      </c>
      <c r="F135" s="24" t="s">
        <v>94</v>
      </c>
      <c r="G135" s="22" t="s">
        <v>97</v>
      </c>
      <c r="H135" s="24" t="s">
        <v>95</v>
      </c>
      <c r="I135" s="24" t="s">
        <v>0</v>
      </c>
      <c r="J135" s="108"/>
      <c r="K135" s="8"/>
      <c r="L135" s="145"/>
      <c r="M135" s="121"/>
      <c r="N135" s="121"/>
    </row>
    <row r="136" spans="1:14">
      <c r="A136" s="160" t="s">
        <v>384</v>
      </c>
      <c r="B136" s="168"/>
      <c r="C136" s="168"/>
      <c r="D136" s="168"/>
      <c r="E136" s="213">
        <v>121019</v>
      </c>
      <c r="F136" s="18">
        <v>80</v>
      </c>
      <c r="G136" s="19"/>
      <c r="H136" s="50">
        <f t="shared" ref="H136:H137" si="28">F136+G136</f>
        <v>80</v>
      </c>
      <c r="I136" s="30">
        <f t="shared" ref="I136:I137" si="29">ROUND(E136*G136/1000000,1)</f>
        <v>0</v>
      </c>
      <c r="J136" s="102">
        <f>E136*H136/1000000</f>
        <v>9.6815200000000008</v>
      </c>
      <c r="K136" s="8"/>
      <c r="L136" s="254"/>
      <c r="M136" s="121"/>
      <c r="N136" s="121"/>
    </row>
    <row r="137" spans="1:14">
      <c r="A137" s="160" t="s">
        <v>385</v>
      </c>
      <c r="B137" s="168"/>
      <c r="C137" s="168"/>
      <c r="D137" s="168"/>
      <c r="E137" s="213">
        <v>5104</v>
      </c>
      <c r="F137" s="18">
        <v>930</v>
      </c>
      <c r="G137" s="19"/>
      <c r="H137" s="50">
        <f t="shared" si="28"/>
        <v>930</v>
      </c>
      <c r="I137" s="30">
        <f t="shared" si="29"/>
        <v>0</v>
      </c>
      <c r="J137" s="102">
        <f>E137*H137/1000000</f>
        <v>4.7467199999999998</v>
      </c>
      <c r="K137" s="8"/>
      <c r="L137" s="254"/>
      <c r="M137" s="121"/>
      <c r="N137" s="121"/>
    </row>
    <row r="138" spans="1:14">
      <c r="A138" s="156" t="s">
        <v>128</v>
      </c>
      <c r="B138" s="156"/>
      <c r="C138" s="156"/>
      <c r="D138" s="157"/>
      <c r="E138" s="21">
        <f>SUM(E136:E137)</f>
        <v>126123</v>
      </c>
      <c r="F138" s="25"/>
      <c r="G138" s="26"/>
      <c r="H138" s="26"/>
      <c r="I138" s="91">
        <f>SUM(I136:I137)</f>
        <v>0</v>
      </c>
      <c r="J138" s="91">
        <f>SUM(J136:J137)</f>
        <v>14.428240000000001</v>
      </c>
      <c r="K138" s="8"/>
      <c r="L138" s="121"/>
      <c r="M138" s="121"/>
      <c r="N138" s="121"/>
    </row>
    <row r="139" spans="1:14">
      <c r="A139" s="280"/>
      <c r="B139" s="281"/>
      <c r="C139" s="281"/>
      <c r="D139" s="281"/>
      <c r="E139" s="29"/>
      <c r="F139" s="18"/>
      <c r="G139" s="28"/>
      <c r="H139" s="28"/>
      <c r="I139" s="92"/>
      <c r="J139" s="92"/>
      <c r="K139" s="8"/>
      <c r="L139" s="121"/>
      <c r="M139" s="121"/>
      <c r="N139" s="121"/>
    </row>
    <row r="140" spans="1:14">
      <c r="A140" s="437" t="s">
        <v>112</v>
      </c>
      <c r="B140" s="405"/>
      <c r="C140" s="405"/>
      <c r="D140" s="405"/>
      <c r="E140" s="112"/>
      <c r="F140" s="112" t="s">
        <v>47</v>
      </c>
      <c r="G140" s="112" t="s">
        <v>96</v>
      </c>
      <c r="H140" s="112" t="s">
        <v>162</v>
      </c>
      <c r="I140" s="112" t="s">
        <v>18</v>
      </c>
      <c r="J140" s="29"/>
      <c r="K140" s="8"/>
      <c r="L140" s="121"/>
      <c r="M140" s="121"/>
      <c r="N140" s="121"/>
    </row>
    <row r="141" spans="1:14">
      <c r="A141" s="432"/>
      <c r="B141" s="397"/>
      <c r="C141" s="397"/>
      <c r="D141" s="397"/>
      <c r="E141" s="116" t="s">
        <v>327</v>
      </c>
      <c r="F141" s="116" t="s">
        <v>94</v>
      </c>
      <c r="G141" s="116" t="s">
        <v>97</v>
      </c>
      <c r="H141" s="116" t="s">
        <v>95</v>
      </c>
      <c r="I141" s="116" t="s">
        <v>0</v>
      </c>
      <c r="J141" s="108"/>
      <c r="K141" s="8"/>
      <c r="L141" s="121"/>
      <c r="M141" s="121"/>
      <c r="N141" s="121"/>
    </row>
    <row r="142" spans="1:14">
      <c r="A142" s="430" t="s">
        <v>379</v>
      </c>
      <c r="B142" s="387"/>
      <c r="C142" s="168" t="s">
        <v>314</v>
      </c>
      <c r="D142" s="168" t="s">
        <v>99</v>
      </c>
      <c r="E142" s="213">
        <v>28641</v>
      </c>
      <c r="F142" s="18">
        <v>550</v>
      </c>
      <c r="G142" s="19">
        <f>-200+200</f>
        <v>0</v>
      </c>
      <c r="H142" s="50">
        <f>F142+G142</f>
        <v>550</v>
      </c>
      <c r="I142" s="30">
        <f t="shared" ref="I142:I146" si="30">ROUND(E142*G142/1000000,1)</f>
        <v>0</v>
      </c>
      <c r="J142" s="102">
        <f>E142*H142/1000000</f>
        <v>15.752549999999999</v>
      </c>
      <c r="K142" s="8"/>
      <c r="L142" s="254"/>
      <c r="M142" s="121"/>
      <c r="N142" s="121"/>
    </row>
    <row r="143" spans="1:14">
      <c r="A143" s="428"/>
      <c r="B143" s="405"/>
      <c r="C143" s="166" t="s">
        <v>301</v>
      </c>
      <c r="D143" s="166" t="s">
        <v>99</v>
      </c>
      <c r="E143" s="213">
        <v>35509</v>
      </c>
      <c r="F143" s="18">
        <v>0</v>
      </c>
      <c r="G143" s="19">
        <f>350+200</f>
        <v>550</v>
      </c>
      <c r="H143" s="50">
        <f>F143+G143</f>
        <v>550</v>
      </c>
      <c r="I143" s="30">
        <f t="shared" si="30"/>
        <v>19.5</v>
      </c>
      <c r="J143" s="102">
        <f>E143*H143/1000000</f>
        <v>19.529949999999999</v>
      </c>
      <c r="K143" s="8"/>
      <c r="L143" s="254"/>
      <c r="M143" s="121"/>
      <c r="N143" s="121"/>
    </row>
    <row r="144" spans="1:14">
      <c r="A144" s="428"/>
      <c r="B144" s="405"/>
      <c r="C144" s="433" t="s">
        <v>87</v>
      </c>
      <c r="D144" s="434"/>
      <c r="E144" s="214">
        <f>SUM(E142:E143)</f>
        <v>64150</v>
      </c>
      <c r="F144" s="25"/>
      <c r="G144" s="20"/>
      <c r="H144" s="169"/>
      <c r="I144" s="109">
        <f>SUM(I142:I143)</f>
        <v>19.5</v>
      </c>
      <c r="J144" s="109">
        <f>SUM(J142:J143)</f>
        <v>35.282499999999999</v>
      </c>
      <c r="K144" s="8"/>
      <c r="L144" s="121"/>
      <c r="M144" s="121"/>
      <c r="N144" s="121"/>
    </row>
    <row r="145" spans="1:14">
      <c r="A145" s="430" t="s">
        <v>380</v>
      </c>
      <c r="B145" s="387"/>
      <c r="C145" s="168" t="s">
        <v>314</v>
      </c>
      <c r="D145" s="168" t="s">
        <v>99</v>
      </c>
      <c r="E145" s="213">
        <v>308</v>
      </c>
      <c r="F145" s="18">
        <v>1650</v>
      </c>
      <c r="G145" s="19">
        <f>-100+200</f>
        <v>100</v>
      </c>
      <c r="H145" s="50">
        <f>F145+G145</f>
        <v>1750</v>
      </c>
      <c r="I145" s="30">
        <f t="shared" si="30"/>
        <v>0</v>
      </c>
      <c r="J145" s="102">
        <f>E145*H145/1000000</f>
        <v>0.53900000000000003</v>
      </c>
      <c r="K145" s="8"/>
      <c r="L145" s="254"/>
      <c r="M145" s="121"/>
      <c r="N145" s="121"/>
    </row>
    <row r="146" spans="1:14">
      <c r="A146" s="428"/>
      <c r="B146" s="405"/>
      <c r="C146" s="166" t="s">
        <v>301</v>
      </c>
      <c r="D146" s="166" t="s">
        <v>99</v>
      </c>
      <c r="E146" s="213">
        <v>0</v>
      </c>
      <c r="F146" s="18">
        <v>0</v>
      </c>
      <c r="G146" s="19">
        <f>1550+200</f>
        <v>1750</v>
      </c>
      <c r="H146" s="50">
        <f>F146+G146</f>
        <v>1750</v>
      </c>
      <c r="I146" s="30">
        <f t="shared" si="30"/>
        <v>0</v>
      </c>
      <c r="J146" s="102">
        <f>E146*H146/1000000</f>
        <v>0</v>
      </c>
      <c r="K146" s="8"/>
      <c r="L146" s="254"/>
      <c r="M146" s="121"/>
      <c r="N146" s="121"/>
    </row>
    <row r="147" spans="1:14">
      <c r="A147" s="428"/>
      <c r="B147" s="405"/>
      <c r="C147" s="433" t="s">
        <v>87</v>
      </c>
      <c r="D147" s="434"/>
      <c r="E147" s="214">
        <f>SUM(E145:E146)</f>
        <v>308</v>
      </c>
      <c r="F147" s="25"/>
      <c r="G147" s="20"/>
      <c r="H147" s="169"/>
      <c r="I147" s="109">
        <f>SUM(I145:I146)</f>
        <v>0</v>
      </c>
      <c r="J147" s="109">
        <f>SUM(J145:J146)</f>
        <v>0.53900000000000003</v>
      </c>
      <c r="K147" s="8"/>
      <c r="L147" s="121"/>
      <c r="M147" s="121"/>
      <c r="N147" s="121"/>
    </row>
    <row r="148" spans="1:14">
      <c r="A148" s="438" t="s">
        <v>129</v>
      </c>
      <c r="B148" s="402"/>
      <c r="C148" s="402"/>
      <c r="D148" s="402"/>
      <c r="E148" s="21">
        <f>+E144+E147</f>
        <v>64458</v>
      </c>
      <c r="F148" s="25"/>
      <c r="G148" s="26"/>
      <c r="H148" s="26"/>
      <c r="I148" s="91">
        <f>+I147+I144</f>
        <v>19.5</v>
      </c>
      <c r="J148" s="91">
        <f>+J147+J144</f>
        <v>35.8215</v>
      </c>
      <c r="K148" s="8"/>
      <c r="L148" s="121"/>
      <c r="M148" s="121"/>
      <c r="N148" s="121"/>
    </row>
    <row r="149" spans="1:14">
      <c r="A149" s="160"/>
      <c r="B149" s="160"/>
      <c r="C149" s="160"/>
      <c r="D149" s="168"/>
      <c r="E149" s="29"/>
      <c r="F149" s="18"/>
      <c r="G149" s="28"/>
      <c r="H149" s="28"/>
      <c r="I149" s="92"/>
      <c r="J149" s="92"/>
      <c r="K149" s="8"/>
      <c r="L149" s="121"/>
      <c r="M149" s="121"/>
      <c r="N149" s="121"/>
    </row>
    <row r="150" spans="1:14">
      <c r="A150" s="163" t="s">
        <v>338</v>
      </c>
      <c r="B150" s="160"/>
      <c r="C150" s="160"/>
      <c r="D150" s="168"/>
      <c r="E150" s="112"/>
      <c r="F150" s="112" t="s">
        <v>47</v>
      </c>
      <c r="G150" s="112" t="s">
        <v>96</v>
      </c>
      <c r="H150" s="112" t="s">
        <v>162</v>
      </c>
      <c r="I150" s="112" t="s">
        <v>18</v>
      </c>
      <c r="J150" s="29"/>
      <c r="K150" s="8"/>
      <c r="L150" s="121"/>
      <c r="M150" s="121"/>
      <c r="N150" s="121"/>
    </row>
    <row r="151" spans="1:14">
      <c r="A151" s="165"/>
      <c r="B151" s="166"/>
      <c r="C151" s="166"/>
      <c r="D151" s="166"/>
      <c r="E151" s="116" t="s">
        <v>327</v>
      </c>
      <c r="F151" s="116" t="s">
        <v>94</v>
      </c>
      <c r="G151" s="116" t="s">
        <v>97</v>
      </c>
      <c r="H151" s="116" t="s">
        <v>95</v>
      </c>
      <c r="I151" s="116" t="s">
        <v>0</v>
      </c>
      <c r="J151" s="108"/>
      <c r="K151" s="199"/>
      <c r="L151" s="121"/>
      <c r="M151" s="121"/>
      <c r="N151" s="121"/>
    </row>
    <row r="152" spans="1:14">
      <c r="A152" s="430" t="s">
        <v>382</v>
      </c>
      <c r="B152" s="387"/>
      <c r="C152" s="168" t="s">
        <v>285</v>
      </c>
      <c r="D152" s="168" t="s">
        <v>99</v>
      </c>
      <c r="E152" s="213">
        <v>5865</v>
      </c>
      <c r="F152" s="18">
        <v>1000</v>
      </c>
      <c r="G152" s="19">
        <f>-300</f>
        <v>-300</v>
      </c>
      <c r="H152" s="50">
        <f>F152+G152</f>
        <v>700</v>
      </c>
      <c r="I152" s="30">
        <f>ROUND(E152*G152/1000000,1)</f>
        <v>-1.8</v>
      </c>
      <c r="J152" s="102">
        <f>E152*H152/1000000</f>
        <v>4.1055000000000001</v>
      </c>
      <c r="K152" s="8"/>
      <c r="L152" s="254"/>
      <c r="N152" s="121"/>
    </row>
    <row r="153" spans="1:14">
      <c r="A153" s="428"/>
      <c r="B153" s="405"/>
      <c r="C153" s="168" t="s">
        <v>211</v>
      </c>
      <c r="D153" s="168" t="s">
        <v>99</v>
      </c>
      <c r="E153" s="213">
        <v>2706</v>
      </c>
      <c r="F153" s="18">
        <v>0</v>
      </c>
      <c r="G153" s="19">
        <v>700</v>
      </c>
      <c r="H153" s="50">
        <f>F153+G153</f>
        <v>700</v>
      </c>
      <c r="I153" s="30">
        <f>ROUND(E153*G153/1000000,1)</f>
        <v>1.9</v>
      </c>
      <c r="J153" s="102">
        <f>E153*H153/1000000</f>
        <v>1.8942000000000001</v>
      </c>
      <c r="K153" s="8"/>
      <c r="L153" s="254"/>
      <c r="N153" s="121"/>
    </row>
    <row r="154" spans="1:14">
      <c r="A154" s="428"/>
      <c r="B154" s="405"/>
      <c r="C154" s="433" t="s">
        <v>87</v>
      </c>
      <c r="D154" s="434"/>
      <c r="E154" s="214">
        <f>SUM(E152:E153)</f>
        <v>8571</v>
      </c>
      <c r="F154" s="25"/>
      <c r="G154" s="20"/>
      <c r="H154" s="169"/>
      <c r="I154" s="109">
        <f>SUM(I152:I153)</f>
        <v>9.9999999999999867E-2</v>
      </c>
      <c r="J154" s="109">
        <f>SUM(J152:J153)</f>
        <v>5.9997000000000007</v>
      </c>
      <c r="K154" s="199"/>
    </row>
    <row r="155" spans="1:14">
      <c r="A155" s="430" t="s">
        <v>381</v>
      </c>
      <c r="B155" s="387"/>
      <c r="C155" s="168" t="s">
        <v>285</v>
      </c>
      <c r="D155" s="168" t="s">
        <v>99</v>
      </c>
      <c r="E155" s="213">
        <v>10674</v>
      </c>
      <c r="F155" s="18">
        <v>1450</v>
      </c>
      <c r="G155" s="19">
        <f>-300+300</f>
        <v>0</v>
      </c>
      <c r="H155" s="50">
        <f>F155+G155</f>
        <v>1450</v>
      </c>
      <c r="I155" s="30">
        <f>ROUND(E155*G155/1000000,1)</f>
        <v>0</v>
      </c>
      <c r="J155" s="102">
        <f>E155*H155/1000000</f>
        <v>15.4773</v>
      </c>
      <c r="K155" s="8"/>
      <c r="L155" s="254"/>
      <c r="N155" s="121"/>
    </row>
    <row r="156" spans="1:14">
      <c r="A156" s="428"/>
      <c r="B156" s="405"/>
      <c r="C156" s="168" t="s">
        <v>211</v>
      </c>
      <c r="D156" s="168" t="s">
        <v>99</v>
      </c>
      <c r="E156" s="213">
        <v>1101</v>
      </c>
      <c r="F156" s="18">
        <v>0</v>
      </c>
      <c r="G156" s="19">
        <f>1150+300</f>
        <v>1450</v>
      </c>
      <c r="H156" s="50">
        <f>F156+G156</f>
        <v>1450</v>
      </c>
      <c r="I156" s="30">
        <f>ROUND(E156*G156/1000000,1)</f>
        <v>1.6</v>
      </c>
      <c r="J156" s="102">
        <f>E156*H156/1000000</f>
        <v>1.5964499999999999</v>
      </c>
      <c r="K156" s="8"/>
      <c r="L156" s="254"/>
      <c r="N156" s="121"/>
    </row>
    <row r="157" spans="1:14">
      <c r="A157" s="428"/>
      <c r="B157" s="405"/>
      <c r="C157" s="433" t="s">
        <v>87</v>
      </c>
      <c r="D157" s="434"/>
      <c r="E157" s="214">
        <f>SUM(E155:E156)</f>
        <v>11775</v>
      </c>
      <c r="F157" s="25"/>
      <c r="G157" s="20"/>
      <c r="H157" s="169"/>
      <c r="I157" s="109">
        <f>SUM(I155:I156)</f>
        <v>1.6</v>
      </c>
      <c r="J157" s="109">
        <f>SUM(J155:J156)</f>
        <v>17.07375</v>
      </c>
      <c r="K157" s="199"/>
      <c r="M157" s="121"/>
      <c r="N157" s="121"/>
    </row>
    <row r="158" spans="1:14">
      <c r="A158" s="438" t="s">
        <v>339</v>
      </c>
      <c r="B158" s="402"/>
      <c r="C158" s="402"/>
      <c r="D158" s="402"/>
      <c r="E158" s="21">
        <f>+E157+E154</f>
        <v>20346</v>
      </c>
      <c r="F158" s="25"/>
      <c r="G158" s="26"/>
      <c r="H158" s="26"/>
      <c r="I158" s="91">
        <f>+I157+I154</f>
        <v>1.7</v>
      </c>
      <c r="J158" s="91">
        <f>+J157+J154</f>
        <v>23.073450000000001</v>
      </c>
      <c r="K158" s="8"/>
      <c r="M158" s="121"/>
      <c r="N158" s="121"/>
    </row>
    <row r="159" spans="1:14">
      <c r="A159" s="280"/>
      <c r="B159" s="281"/>
      <c r="C159" s="281"/>
      <c r="D159" s="281"/>
      <c r="E159" s="29"/>
      <c r="F159" s="18"/>
      <c r="G159" s="28"/>
      <c r="H159" s="28"/>
      <c r="I159" s="92"/>
      <c r="J159" s="92"/>
      <c r="K159" s="8"/>
      <c r="M159" s="121"/>
      <c r="N159" s="121"/>
    </row>
    <row r="160" spans="1:14">
      <c r="J160" s="92"/>
      <c r="K160" s="8"/>
      <c r="M160" s="121"/>
      <c r="N160" s="121"/>
    </row>
    <row r="161" spans="1:14">
      <c r="A161" s="163" t="s">
        <v>340</v>
      </c>
      <c r="B161" s="160"/>
      <c r="C161" s="160"/>
      <c r="D161" s="168"/>
      <c r="E161" s="112"/>
      <c r="F161" s="112" t="s">
        <v>47</v>
      </c>
      <c r="G161" s="112" t="s">
        <v>96</v>
      </c>
      <c r="H161" s="112" t="s">
        <v>162</v>
      </c>
      <c r="I161" s="112" t="s">
        <v>18</v>
      </c>
      <c r="J161" s="92"/>
      <c r="K161" s="8"/>
      <c r="M161" s="121"/>
      <c r="N161" s="121"/>
    </row>
    <row r="162" spans="1:14">
      <c r="A162" s="165"/>
      <c r="B162" s="166"/>
      <c r="C162" s="166"/>
      <c r="D162" s="166"/>
      <c r="E162" s="116" t="s">
        <v>327</v>
      </c>
      <c r="F162" s="116" t="s">
        <v>94</v>
      </c>
      <c r="G162" s="116" t="s">
        <v>97</v>
      </c>
      <c r="H162" s="116" t="s">
        <v>95</v>
      </c>
      <c r="I162" s="116" t="s">
        <v>0</v>
      </c>
      <c r="J162" s="92"/>
      <c r="K162" s="8"/>
      <c r="M162" s="121"/>
      <c r="N162" s="121"/>
    </row>
    <row r="163" spans="1:14">
      <c r="A163" s="430" t="s">
        <v>382</v>
      </c>
      <c r="B163" s="387"/>
      <c r="C163" s="168" t="s">
        <v>285</v>
      </c>
      <c r="D163" s="168" t="s">
        <v>99</v>
      </c>
      <c r="E163" s="213">
        <v>7592</v>
      </c>
      <c r="F163" s="18">
        <v>1000</v>
      </c>
      <c r="G163" s="19">
        <f>-300+300</f>
        <v>0</v>
      </c>
      <c r="H163" s="50">
        <f>F163+G163</f>
        <v>1000</v>
      </c>
      <c r="I163" s="30">
        <f>ROUND(E163*G163/1000000,1)</f>
        <v>0</v>
      </c>
      <c r="J163" s="102">
        <f>E163*H163/1000000</f>
        <v>7.5919999999999996</v>
      </c>
      <c r="K163" s="8"/>
      <c r="L163" s="254"/>
      <c r="M163" s="121"/>
      <c r="N163" s="121"/>
    </row>
    <row r="164" spans="1:14">
      <c r="A164" s="428"/>
      <c r="B164" s="405"/>
      <c r="C164" s="168" t="s">
        <v>211</v>
      </c>
      <c r="D164" s="168" t="s">
        <v>99</v>
      </c>
      <c r="E164" s="213">
        <v>8511</v>
      </c>
      <c r="F164" s="18">
        <v>0</v>
      </c>
      <c r="G164" s="19">
        <f>700+300</f>
        <v>1000</v>
      </c>
      <c r="H164" s="50">
        <f>F164+G164</f>
        <v>1000</v>
      </c>
      <c r="I164" s="30">
        <f>ROUND(E164*G164/1000000,1)</f>
        <v>8.5</v>
      </c>
      <c r="J164" s="102">
        <f>E164*H164/1000000</f>
        <v>8.5109999999999992</v>
      </c>
      <c r="K164" s="8"/>
      <c r="L164" s="254"/>
      <c r="M164" s="121"/>
      <c r="N164" s="121"/>
    </row>
    <row r="165" spans="1:14">
      <c r="A165" s="428"/>
      <c r="B165" s="405"/>
      <c r="C165" s="433" t="s">
        <v>87</v>
      </c>
      <c r="D165" s="434"/>
      <c r="E165" s="214">
        <f>SUM(E163:E164)</f>
        <v>16103</v>
      </c>
      <c r="F165" s="25"/>
      <c r="G165" s="20"/>
      <c r="H165" s="169"/>
      <c r="I165" s="109">
        <f>SUM(I163:I164)</f>
        <v>8.5</v>
      </c>
      <c r="J165" s="109">
        <f>SUM(J163:J164)</f>
        <v>16.102999999999998</v>
      </c>
      <c r="K165" s="8"/>
      <c r="M165" s="121"/>
      <c r="N165" s="121"/>
    </row>
    <row r="166" spans="1:14">
      <c r="A166" s="430" t="s">
        <v>383</v>
      </c>
      <c r="B166" s="387"/>
      <c r="C166" s="168" t="s">
        <v>285</v>
      </c>
      <c r="D166" s="168" t="s">
        <v>99</v>
      </c>
      <c r="E166" s="213">
        <v>5709</v>
      </c>
      <c r="F166" s="18">
        <v>1450</v>
      </c>
      <c r="G166" s="19">
        <f>-300+300</f>
        <v>0</v>
      </c>
      <c r="H166" s="50">
        <f>F166+G166</f>
        <v>1450</v>
      </c>
      <c r="I166" s="30">
        <f>ROUND(E166*G166/1000000,1)</f>
        <v>0</v>
      </c>
      <c r="J166" s="102">
        <f>E166*H166/1000000</f>
        <v>8.2780500000000004</v>
      </c>
      <c r="K166" s="8"/>
      <c r="L166" s="254"/>
      <c r="M166" s="121"/>
      <c r="N166" s="121"/>
    </row>
    <row r="167" spans="1:14">
      <c r="A167" s="428"/>
      <c r="B167" s="405"/>
      <c r="C167" s="168" t="s">
        <v>211</v>
      </c>
      <c r="D167" s="168" t="s">
        <v>99</v>
      </c>
      <c r="E167" s="213">
        <v>1567</v>
      </c>
      <c r="F167" s="18">
        <v>0</v>
      </c>
      <c r="G167" s="19">
        <f>1150+300</f>
        <v>1450</v>
      </c>
      <c r="H167" s="50">
        <f>F167+G167</f>
        <v>1450</v>
      </c>
      <c r="I167" s="30">
        <f>ROUND(E167*G167/1000000,1)</f>
        <v>2.2999999999999998</v>
      </c>
      <c r="J167" s="102">
        <f>E167*H167/1000000</f>
        <v>2.2721499999999999</v>
      </c>
      <c r="K167" s="8"/>
      <c r="L167" s="254"/>
      <c r="M167" s="121"/>
      <c r="N167" s="121"/>
    </row>
    <row r="168" spans="1:14">
      <c r="A168" s="428"/>
      <c r="B168" s="405"/>
      <c r="C168" s="433" t="s">
        <v>87</v>
      </c>
      <c r="D168" s="434"/>
      <c r="E168" s="214">
        <f>SUM(E166:E167)</f>
        <v>7276</v>
      </c>
      <c r="F168" s="25"/>
      <c r="G168" s="20"/>
      <c r="H168" s="169"/>
      <c r="I168" s="109">
        <f>SUM(I166:I167)</f>
        <v>2.2999999999999998</v>
      </c>
      <c r="J168" s="109">
        <f>SUM(J166:J167)</f>
        <v>10.5502</v>
      </c>
      <c r="K168" s="8"/>
    </row>
    <row r="169" spans="1:14">
      <c r="A169" s="438" t="s">
        <v>341</v>
      </c>
      <c r="B169" s="402"/>
      <c r="C169" s="402"/>
      <c r="D169" s="402"/>
      <c r="E169" s="21">
        <f>+E165+E168</f>
        <v>23379</v>
      </c>
      <c r="F169" s="25"/>
      <c r="G169" s="26"/>
      <c r="H169" s="26"/>
      <c r="I169" s="91">
        <f>+I165+I168</f>
        <v>10.8</v>
      </c>
      <c r="J169" s="91">
        <f>+J165+J168</f>
        <v>26.653199999999998</v>
      </c>
      <c r="K169" s="8"/>
    </row>
    <row r="170" spans="1:14">
      <c r="A170" s="438" t="s">
        <v>130</v>
      </c>
      <c r="B170" s="402"/>
      <c r="C170" s="402"/>
      <c r="D170" s="402"/>
      <c r="E170" s="21">
        <f>+E169+E158</f>
        <v>43725</v>
      </c>
      <c r="F170" s="25"/>
      <c r="G170" s="26"/>
      <c r="H170" s="26"/>
      <c r="I170" s="111">
        <f>+I169+I158</f>
        <v>12.5</v>
      </c>
      <c r="J170" s="111">
        <f>+J169+J158</f>
        <v>49.726649999999999</v>
      </c>
      <c r="K170" s="8"/>
    </row>
    <row r="171" spans="1:14">
      <c r="J171" s="92"/>
      <c r="K171" s="8"/>
    </row>
    <row r="172" spans="1:14">
      <c r="J172" s="92"/>
      <c r="K172" s="8"/>
    </row>
    <row r="173" spans="1:14">
      <c r="A173" s="280"/>
      <c r="B173" s="281"/>
      <c r="C173" s="281"/>
      <c r="D173" s="281"/>
      <c r="E173" s="29"/>
      <c r="F173" s="18"/>
      <c r="G173" s="28"/>
      <c r="H173" s="28"/>
      <c r="I173" s="92"/>
      <c r="J173" s="92"/>
    </row>
    <row r="174" spans="1:14">
      <c r="A174" s="452" t="s">
        <v>328</v>
      </c>
      <c r="B174" s="452"/>
      <c r="C174" s="452"/>
      <c r="D174" s="452"/>
      <c r="E174" s="452"/>
      <c r="F174" s="60"/>
      <c r="G174" s="98"/>
      <c r="H174" s="98"/>
      <c r="I174" s="17"/>
      <c r="J174" s="17"/>
    </row>
    <row r="175" spans="1:14">
      <c r="F175" s="112" t="s">
        <v>47</v>
      </c>
      <c r="G175" s="112" t="s">
        <v>18</v>
      </c>
      <c r="H175" s="112" t="s">
        <v>162</v>
      </c>
      <c r="I175" s="112" t="s">
        <v>18</v>
      </c>
      <c r="J175" s="114" t="s">
        <v>51</v>
      </c>
    </row>
    <row r="176" spans="1:14" ht="12.75" customHeight="1">
      <c r="A176" s="432" t="s">
        <v>251</v>
      </c>
      <c r="B176" s="397"/>
      <c r="C176" s="397"/>
      <c r="D176" s="275"/>
      <c r="E176" s="116" t="s">
        <v>327</v>
      </c>
      <c r="F176" s="116" t="s">
        <v>94</v>
      </c>
      <c r="G176" s="116" t="s">
        <v>95</v>
      </c>
      <c r="H176" s="116" t="s">
        <v>95</v>
      </c>
      <c r="I176" s="116" t="s">
        <v>0</v>
      </c>
      <c r="J176" s="115" t="s">
        <v>326</v>
      </c>
    </row>
    <row r="177" spans="1:20" ht="12.75" customHeight="1">
      <c r="A177" s="456" t="s">
        <v>265</v>
      </c>
      <c r="B177" s="435"/>
      <c r="C177" s="435"/>
      <c r="D177" s="435"/>
      <c r="E177" s="255">
        <v>69478</v>
      </c>
      <c r="F177" s="18">
        <v>300</v>
      </c>
      <c r="G177" s="19"/>
      <c r="H177" s="50">
        <f t="shared" ref="H177:H182" si="31">F177+G177</f>
        <v>300</v>
      </c>
      <c r="I177" s="30">
        <f t="shared" ref="I177:I182" si="32">ROUND(E177*G177/1000000,1)</f>
        <v>0</v>
      </c>
      <c r="J177" s="141">
        <f>E177*H177/1000000</f>
        <v>20.843399999999999</v>
      </c>
      <c r="L177" s="254"/>
      <c r="M177" s="121"/>
      <c r="N177" s="121"/>
    </row>
    <row r="178" spans="1:20">
      <c r="A178" s="456" t="s">
        <v>264</v>
      </c>
      <c r="B178" s="435"/>
      <c r="C178" s="435"/>
      <c r="D178" s="435"/>
      <c r="E178" s="255">
        <v>3984</v>
      </c>
      <c r="F178" s="18">
        <v>1000</v>
      </c>
      <c r="G178" s="19"/>
      <c r="H178" s="50">
        <f t="shared" si="31"/>
        <v>1000</v>
      </c>
      <c r="I178" s="30">
        <f t="shared" si="32"/>
        <v>0</v>
      </c>
      <c r="J178" s="141">
        <f t="shared" ref="J178:J182" si="33">E178*H178/1000000</f>
        <v>3.984</v>
      </c>
      <c r="L178" s="254"/>
      <c r="M178" s="121"/>
      <c r="N178" s="121"/>
    </row>
    <row r="179" spans="1:20" ht="12.75" customHeight="1">
      <c r="A179" s="456" t="s">
        <v>166</v>
      </c>
      <c r="B179" s="435"/>
      <c r="C179" s="435"/>
      <c r="D179" s="435"/>
      <c r="E179" s="255">
        <v>1035</v>
      </c>
      <c r="F179" s="18">
        <v>500</v>
      </c>
      <c r="G179" s="19"/>
      <c r="H179" s="50">
        <f t="shared" si="31"/>
        <v>500</v>
      </c>
      <c r="I179" s="30">
        <f t="shared" si="32"/>
        <v>0</v>
      </c>
      <c r="J179" s="141">
        <f t="shared" si="33"/>
        <v>0.51749999999999996</v>
      </c>
      <c r="L179" s="254"/>
      <c r="M179" s="121"/>
      <c r="N179" s="121"/>
    </row>
    <row r="180" spans="1:20">
      <c r="A180" s="456" t="s">
        <v>252</v>
      </c>
      <c r="B180" s="435"/>
      <c r="C180" s="435"/>
      <c r="D180" s="435"/>
      <c r="E180" s="255">
        <v>8157</v>
      </c>
      <c r="F180" s="18">
        <v>500</v>
      </c>
      <c r="G180" s="19"/>
      <c r="H180" s="50">
        <f t="shared" si="31"/>
        <v>500</v>
      </c>
      <c r="I180" s="30">
        <f t="shared" si="32"/>
        <v>0</v>
      </c>
      <c r="J180" s="141">
        <f t="shared" si="33"/>
        <v>4.0785</v>
      </c>
      <c r="L180" s="254"/>
      <c r="M180" s="121"/>
      <c r="N180" s="121"/>
    </row>
    <row r="181" spans="1:20" ht="12.75" customHeight="1">
      <c r="A181" s="456" t="s">
        <v>283</v>
      </c>
      <c r="B181" s="435"/>
      <c r="C181" s="435"/>
      <c r="D181" s="435"/>
      <c r="E181" s="255">
        <v>44114.400000000001</v>
      </c>
      <c r="F181" s="18">
        <v>25</v>
      </c>
      <c r="G181" s="19"/>
      <c r="H181" s="50">
        <f t="shared" si="31"/>
        <v>25</v>
      </c>
      <c r="I181" s="30">
        <f t="shared" si="32"/>
        <v>0</v>
      </c>
      <c r="J181" s="141">
        <f t="shared" si="33"/>
        <v>1.10286</v>
      </c>
      <c r="L181" s="254"/>
      <c r="M181" s="121"/>
      <c r="N181" s="121"/>
    </row>
    <row r="182" spans="1:20" ht="12.75" customHeight="1">
      <c r="A182" s="456" t="s">
        <v>362</v>
      </c>
      <c r="B182" s="435"/>
      <c r="C182" s="435"/>
      <c r="D182" s="435"/>
      <c r="E182" s="255">
        <v>284715</v>
      </c>
      <c r="F182" s="18">
        <v>25</v>
      </c>
      <c r="G182" s="19"/>
      <c r="H182" s="50">
        <f t="shared" si="31"/>
        <v>25</v>
      </c>
      <c r="I182" s="30">
        <f t="shared" si="32"/>
        <v>0</v>
      </c>
      <c r="J182" s="141">
        <f t="shared" si="33"/>
        <v>7.1178749999999997</v>
      </c>
      <c r="L182" s="254"/>
      <c r="M182" s="121"/>
      <c r="N182" s="121"/>
    </row>
    <row r="183" spans="1:20">
      <c r="A183" s="460" t="s">
        <v>253</v>
      </c>
      <c r="B183" s="420"/>
      <c r="C183" s="420"/>
      <c r="D183" s="420"/>
      <c r="E183" s="21">
        <f>SUM(E177:E182)</f>
        <v>411483.4</v>
      </c>
      <c r="F183" s="101"/>
      <c r="G183" s="118"/>
      <c r="H183" s="118"/>
      <c r="I183" s="97">
        <f>SUM(I177:I182)</f>
        <v>0</v>
      </c>
      <c r="J183" s="97">
        <f>SUM(J177:J182)</f>
        <v>37.644134999999991</v>
      </c>
    </row>
    <row r="184" spans="1:20" ht="12.75" customHeight="1">
      <c r="A184" s="428" t="s">
        <v>254</v>
      </c>
      <c r="B184" s="407"/>
      <c r="C184" s="407"/>
      <c r="F184" s="60"/>
      <c r="G184" s="98"/>
      <c r="H184" s="98"/>
      <c r="I184" s="17"/>
      <c r="J184" s="17"/>
    </row>
    <row r="185" spans="1:20" ht="12.75" customHeight="1">
      <c r="A185" s="456" t="s">
        <v>315</v>
      </c>
      <c r="B185" s="457"/>
      <c r="C185" s="457"/>
      <c r="D185" s="457"/>
      <c r="E185" s="255">
        <v>25018</v>
      </c>
      <c r="F185" s="18">
        <v>250</v>
      </c>
      <c r="G185" s="19"/>
      <c r="H185" s="50">
        <f>F185+G185</f>
        <v>250</v>
      </c>
      <c r="I185" s="30">
        <f>ROUND(E185*G185/1000000,1)</f>
        <v>0</v>
      </c>
      <c r="J185" s="141">
        <f>E185*F185/1000000+I185</f>
        <v>6.2545000000000002</v>
      </c>
      <c r="L185" s="254"/>
      <c r="M185" s="121"/>
      <c r="N185" s="121"/>
    </row>
    <row r="186" spans="1:20">
      <c r="A186" s="460" t="s">
        <v>255</v>
      </c>
      <c r="B186" s="420"/>
      <c r="C186" s="420"/>
      <c r="D186" s="420"/>
      <c r="E186" s="21">
        <f>SUM(E185:E185)</f>
        <v>25018</v>
      </c>
      <c r="F186" s="101"/>
      <c r="G186" s="118"/>
      <c r="H186" s="118"/>
      <c r="I186" s="97">
        <f>SUM(I185:I185)</f>
        <v>0</v>
      </c>
      <c r="J186" s="97">
        <f>SUM(J185:J185)</f>
        <v>6.2545000000000002</v>
      </c>
    </row>
    <row r="187" spans="1:20">
      <c r="A187" s="430" t="s">
        <v>256</v>
      </c>
      <c r="B187" s="387"/>
      <c r="C187" s="387"/>
      <c r="D187" s="387"/>
      <c r="E187" s="234" t="s">
        <v>78</v>
      </c>
      <c r="F187" s="234" t="s">
        <v>47</v>
      </c>
      <c r="G187" s="234" t="s">
        <v>81</v>
      </c>
      <c r="H187" s="234" t="s">
        <v>162</v>
      </c>
      <c r="I187" s="234" t="s">
        <v>18</v>
      </c>
      <c r="J187" s="235" t="s">
        <v>51</v>
      </c>
    </row>
    <row r="188" spans="1:20" ht="12.75" customHeight="1">
      <c r="A188" s="165"/>
      <c r="B188" s="165"/>
      <c r="C188" s="165"/>
      <c r="D188" s="165"/>
      <c r="E188" s="287" t="s">
        <v>84</v>
      </c>
      <c r="F188" s="287" t="s">
        <v>85</v>
      </c>
      <c r="G188" s="287" t="s">
        <v>85</v>
      </c>
      <c r="H188" s="287" t="s">
        <v>85</v>
      </c>
      <c r="I188" s="287" t="s">
        <v>20</v>
      </c>
      <c r="J188" s="291" t="s">
        <v>86</v>
      </c>
    </row>
    <row r="189" spans="1:20" ht="12.75" customHeight="1">
      <c r="A189" s="458" t="s">
        <v>257</v>
      </c>
      <c r="B189" s="459"/>
      <c r="C189" s="455" t="s">
        <v>249</v>
      </c>
      <c r="D189" s="407"/>
      <c r="E189" s="148">
        <v>5493.5</v>
      </c>
      <c r="F189" s="18">
        <v>2400</v>
      </c>
      <c r="G189" s="19">
        <v>400</v>
      </c>
      <c r="H189" s="50">
        <f t="shared" ref="H189:H200" si="34">F189+G189</f>
        <v>2800</v>
      </c>
      <c r="I189" s="30">
        <f t="shared" ref="I189:I200" si="35">ROUND(E189*G189/1000000,1)</f>
        <v>2.2000000000000002</v>
      </c>
      <c r="J189" s="141">
        <f t="shared" ref="J189:J200" si="36">E189*H189/1000000</f>
        <v>15.3818</v>
      </c>
      <c r="L189" s="254"/>
      <c r="M189" s="254"/>
      <c r="N189" s="121"/>
      <c r="O189" s="251"/>
      <c r="S189" s="252"/>
      <c r="T189" s="252"/>
    </row>
    <row r="190" spans="1:20" ht="12.75" customHeight="1">
      <c r="A190" s="458"/>
      <c r="B190" s="459"/>
      <c r="C190" s="455" t="s">
        <v>250</v>
      </c>
      <c r="D190" s="407"/>
      <c r="E190" s="148">
        <v>3508</v>
      </c>
      <c r="F190" s="18">
        <v>2702</v>
      </c>
      <c r="G190" s="19">
        <v>98</v>
      </c>
      <c r="H190" s="50">
        <f t="shared" si="34"/>
        <v>2800</v>
      </c>
      <c r="I190" s="30">
        <f t="shared" si="35"/>
        <v>0.3</v>
      </c>
      <c r="J190" s="141">
        <f t="shared" si="36"/>
        <v>9.8224</v>
      </c>
      <c r="L190" s="254"/>
      <c r="M190" s="254"/>
      <c r="N190" s="121"/>
      <c r="O190" s="251"/>
    </row>
    <row r="191" spans="1:20" ht="12.75" customHeight="1">
      <c r="A191" s="458" t="s">
        <v>181</v>
      </c>
      <c r="B191" s="459"/>
      <c r="C191" s="455" t="s">
        <v>249</v>
      </c>
      <c r="D191" s="407"/>
      <c r="E191" s="148">
        <v>2329.5</v>
      </c>
      <c r="F191" s="18">
        <v>1518</v>
      </c>
      <c r="G191" s="19">
        <v>482</v>
      </c>
      <c r="H191" s="50">
        <f t="shared" si="34"/>
        <v>2000</v>
      </c>
      <c r="I191" s="30">
        <f t="shared" si="35"/>
        <v>1.1000000000000001</v>
      </c>
      <c r="J191" s="141">
        <f t="shared" si="36"/>
        <v>4.6589999999999998</v>
      </c>
      <c r="L191" s="254"/>
      <c r="M191" s="254"/>
      <c r="N191" s="121"/>
      <c r="O191" s="251"/>
    </row>
    <row r="192" spans="1:20" ht="12.75" customHeight="1">
      <c r="A192" s="458"/>
      <c r="B192" s="459"/>
      <c r="C192" s="455" t="s">
        <v>250</v>
      </c>
      <c r="D192" s="407"/>
      <c r="E192" s="148">
        <v>1578.5</v>
      </c>
      <c r="F192" s="18">
        <v>1968</v>
      </c>
      <c r="G192" s="19">
        <v>32</v>
      </c>
      <c r="H192" s="50">
        <f t="shared" si="34"/>
        <v>2000</v>
      </c>
      <c r="I192" s="30">
        <f t="shared" si="35"/>
        <v>0.1</v>
      </c>
      <c r="J192" s="141">
        <f t="shared" si="36"/>
        <v>3.157</v>
      </c>
      <c r="L192" s="254"/>
      <c r="M192" s="254"/>
      <c r="N192" s="121"/>
      <c r="O192" s="251"/>
    </row>
    <row r="193" spans="1:17" ht="12.75" customHeight="1">
      <c r="A193" s="458" t="s">
        <v>229</v>
      </c>
      <c r="B193" s="459"/>
      <c r="C193" s="455" t="s">
        <v>249</v>
      </c>
      <c r="D193" s="407"/>
      <c r="E193" s="148">
        <v>11146.5</v>
      </c>
      <c r="F193" s="18">
        <v>402</v>
      </c>
      <c r="G193" s="19">
        <v>198</v>
      </c>
      <c r="H193" s="50">
        <f>F193+G193</f>
        <v>600</v>
      </c>
      <c r="I193" s="30">
        <f>ROUND(E193*G193/1000000,1)</f>
        <v>2.2000000000000002</v>
      </c>
      <c r="J193" s="141">
        <f t="shared" si="36"/>
        <v>6.6879</v>
      </c>
      <c r="L193" s="254"/>
      <c r="M193" s="254"/>
      <c r="N193" s="121"/>
      <c r="O193" s="251"/>
    </row>
    <row r="194" spans="1:17" ht="12.75" customHeight="1">
      <c r="A194" s="458"/>
      <c r="B194" s="459"/>
      <c r="C194" s="455" t="s">
        <v>250</v>
      </c>
      <c r="D194" s="407"/>
      <c r="E194" s="148">
        <v>6592</v>
      </c>
      <c r="F194" s="18">
        <v>564</v>
      </c>
      <c r="G194" s="19">
        <v>36</v>
      </c>
      <c r="H194" s="50">
        <f>F194+G194</f>
        <v>600</v>
      </c>
      <c r="I194" s="30">
        <f>ROUND(E194*G194/1000000,1)</f>
        <v>0.2</v>
      </c>
      <c r="J194" s="141">
        <f t="shared" si="36"/>
        <v>3.9552</v>
      </c>
      <c r="L194" s="254"/>
      <c r="M194" s="254"/>
      <c r="N194" s="121"/>
      <c r="O194" s="251"/>
    </row>
    <row r="195" spans="1:17" ht="12.75" customHeight="1">
      <c r="A195" s="458" t="s">
        <v>258</v>
      </c>
      <c r="B195" s="459"/>
      <c r="C195" s="455" t="s">
        <v>249</v>
      </c>
      <c r="D195" s="407"/>
      <c r="E195" s="148">
        <v>10027</v>
      </c>
      <c r="F195" s="18">
        <v>342</v>
      </c>
      <c r="G195" s="19">
        <v>108</v>
      </c>
      <c r="H195" s="50">
        <f t="shared" si="34"/>
        <v>450</v>
      </c>
      <c r="I195" s="30">
        <f t="shared" si="35"/>
        <v>1.1000000000000001</v>
      </c>
      <c r="J195" s="141">
        <f t="shared" si="36"/>
        <v>4.5121500000000001</v>
      </c>
      <c r="L195" s="254"/>
      <c r="M195" s="254"/>
      <c r="N195" s="121"/>
      <c r="O195" s="251"/>
    </row>
    <row r="196" spans="1:17" ht="12.75" customHeight="1">
      <c r="A196" s="458"/>
      <c r="B196" s="459"/>
      <c r="C196" s="455" t="s">
        <v>250</v>
      </c>
      <c r="D196" s="407"/>
      <c r="E196" s="148">
        <v>28658</v>
      </c>
      <c r="F196" s="18">
        <v>414</v>
      </c>
      <c r="G196" s="19">
        <v>36</v>
      </c>
      <c r="H196" s="50">
        <f t="shared" si="34"/>
        <v>450</v>
      </c>
      <c r="I196" s="30">
        <f t="shared" si="35"/>
        <v>1</v>
      </c>
      <c r="J196" s="141">
        <f t="shared" si="36"/>
        <v>12.896100000000001</v>
      </c>
      <c r="L196" s="254"/>
      <c r="M196" s="254"/>
      <c r="N196" s="121"/>
      <c r="O196" s="251"/>
    </row>
    <row r="197" spans="1:17" ht="12.75" customHeight="1">
      <c r="A197" s="458" t="s">
        <v>259</v>
      </c>
      <c r="B197" s="459"/>
      <c r="C197" s="455" t="s">
        <v>249</v>
      </c>
      <c r="D197" s="407"/>
      <c r="E197" s="148">
        <v>67</v>
      </c>
      <c r="F197" s="18">
        <v>162</v>
      </c>
      <c r="G197" s="19">
        <v>38</v>
      </c>
      <c r="H197" s="50">
        <f t="shared" si="34"/>
        <v>200</v>
      </c>
      <c r="I197" s="30">
        <f t="shared" si="35"/>
        <v>0</v>
      </c>
      <c r="J197" s="141">
        <f t="shared" si="36"/>
        <v>1.34E-2</v>
      </c>
      <c r="L197" s="254"/>
      <c r="M197" s="254"/>
      <c r="N197" s="121"/>
      <c r="O197" s="251"/>
    </row>
    <row r="198" spans="1:17">
      <c r="A198" s="458"/>
      <c r="B198" s="459"/>
      <c r="C198" s="455" t="s">
        <v>250</v>
      </c>
      <c r="D198" s="407"/>
      <c r="E198" s="148">
        <v>1193</v>
      </c>
      <c r="F198" s="18">
        <v>186</v>
      </c>
      <c r="G198" s="19">
        <v>14</v>
      </c>
      <c r="H198" s="50">
        <f t="shared" si="34"/>
        <v>200</v>
      </c>
      <c r="I198" s="30">
        <f t="shared" si="35"/>
        <v>0</v>
      </c>
      <c r="J198" s="141">
        <f t="shared" si="36"/>
        <v>0.23860000000000001</v>
      </c>
      <c r="L198" s="254"/>
      <c r="M198" s="254"/>
      <c r="N198" s="121"/>
      <c r="O198" s="251"/>
    </row>
    <row r="199" spans="1:17">
      <c r="A199" s="458" t="s">
        <v>231</v>
      </c>
      <c r="B199" s="459"/>
      <c r="C199" s="455" t="s">
        <v>260</v>
      </c>
      <c r="D199" s="407"/>
      <c r="E199" s="148">
        <v>358</v>
      </c>
      <c r="F199" s="18">
        <v>402</v>
      </c>
      <c r="G199" s="19">
        <v>0</v>
      </c>
      <c r="H199" s="50">
        <f t="shared" si="34"/>
        <v>402</v>
      </c>
      <c r="I199" s="30">
        <f t="shared" si="35"/>
        <v>0</v>
      </c>
      <c r="J199" s="141">
        <f t="shared" si="36"/>
        <v>0.14391599999999999</v>
      </c>
      <c r="L199" s="254"/>
      <c r="M199" s="254"/>
      <c r="N199" s="121"/>
      <c r="O199" s="251"/>
    </row>
    <row r="200" spans="1:17" ht="12.75" customHeight="1">
      <c r="A200" s="458" t="s">
        <v>91</v>
      </c>
      <c r="B200" s="459"/>
      <c r="C200" s="455" t="s">
        <v>260</v>
      </c>
      <c r="D200" s="407"/>
      <c r="E200" s="148">
        <v>10742</v>
      </c>
      <c r="F200" s="18">
        <v>260</v>
      </c>
      <c r="G200" s="19">
        <v>0</v>
      </c>
      <c r="H200" s="50">
        <f t="shared" si="34"/>
        <v>260</v>
      </c>
      <c r="I200" s="30">
        <f t="shared" si="35"/>
        <v>0</v>
      </c>
      <c r="J200" s="141">
        <f t="shared" si="36"/>
        <v>2.7929200000000001</v>
      </c>
      <c r="L200" s="254"/>
      <c r="M200" s="254"/>
      <c r="N200" s="121"/>
      <c r="O200" s="251"/>
      <c r="Q200" s="253"/>
    </row>
    <row r="201" spans="1:17" ht="12.75" customHeight="1">
      <c r="A201" s="438" t="s">
        <v>261</v>
      </c>
      <c r="B201" s="402"/>
      <c r="C201" s="402"/>
      <c r="D201" s="402"/>
      <c r="E201" s="171"/>
      <c r="F201" s="101"/>
      <c r="G201" s="118"/>
      <c r="H201" s="118"/>
      <c r="I201" s="97">
        <f>SUM(I189:I200)</f>
        <v>8.2000000000000011</v>
      </c>
      <c r="J201" s="97">
        <f>SUM(J189:J200)</f>
        <v>64.260385999999997</v>
      </c>
      <c r="O201" s="142"/>
    </row>
    <row r="202" spans="1:17" ht="15.75">
      <c r="A202" s="441" t="s">
        <v>215</v>
      </c>
      <c r="B202" s="397"/>
      <c r="C202" s="397"/>
      <c r="D202" s="397"/>
      <c r="E202" s="397"/>
      <c r="F202" s="397"/>
      <c r="G202" s="397"/>
      <c r="H202" s="118"/>
      <c r="I202" s="172">
        <v>-10</v>
      </c>
      <c r="J202" s="210"/>
      <c r="O202" s="142"/>
    </row>
    <row r="203" spans="1:17" ht="15.75">
      <c r="A203" s="468" t="s">
        <v>262</v>
      </c>
      <c r="B203" s="385"/>
      <c r="C203" s="385"/>
      <c r="D203" s="385"/>
      <c r="E203" s="385"/>
      <c r="F203" s="101"/>
      <c r="G203" s="118"/>
      <c r="H203" s="118"/>
      <c r="I203" s="97">
        <f>+I201+I186+I183+I202</f>
        <v>-1.7999999999999989</v>
      </c>
      <c r="J203" s="97">
        <f>+J201+J186+J183</f>
        <v>108.15902099999998</v>
      </c>
      <c r="O203" s="142"/>
    </row>
    <row r="204" spans="1:17" ht="15.75">
      <c r="A204" s="218"/>
      <c r="B204" s="286"/>
      <c r="C204" s="286"/>
      <c r="D204" s="286"/>
      <c r="E204" s="286"/>
      <c r="F204" s="60"/>
      <c r="G204" s="98"/>
      <c r="H204" s="98"/>
      <c r="I204" s="40"/>
      <c r="J204" s="40"/>
      <c r="O204" s="142"/>
    </row>
    <row r="205" spans="1:17" ht="15.75">
      <c r="A205" s="218"/>
      <c r="B205" s="286"/>
      <c r="C205" s="286"/>
      <c r="D205" s="286"/>
      <c r="E205" s="286"/>
      <c r="F205" s="60"/>
      <c r="G205" s="98"/>
      <c r="H205" s="98"/>
      <c r="I205" s="40"/>
      <c r="J205" s="40"/>
      <c r="O205" s="142"/>
    </row>
    <row r="206" spans="1:17">
      <c r="A206" s="417" t="s">
        <v>329</v>
      </c>
      <c r="B206" s="405"/>
      <c r="C206" s="405"/>
      <c r="D206" s="405"/>
      <c r="E206" s="405"/>
      <c r="F206" s="17"/>
      <c r="G206" s="62"/>
      <c r="H206" s="17"/>
      <c r="I206" s="17"/>
      <c r="J206" s="17"/>
    </row>
    <row r="207" spans="1:17" ht="13.5" thickBot="1">
      <c r="A207" s="417"/>
      <c r="B207" s="405"/>
      <c r="C207" s="284" t="s">
        <v>226</v>
      </c>
      <c r="D207" s="284" t="s">
        <v>78</v>
      </c>
      <c r="E207" s="284" t="s">
        <v>47</v>
      </c>
      <c r="F207" s="284" t="s">
        <v>81</v>
      </c>
      <c r="G207" s="284" t="s">
        <v>161</v>
      </c>
      <c r="H207" s="284" t="s">
        <v>267</v>
      </c>
      <c r="I207" s="284" t="s">
        <v>18</v>
      </c>
    </row>
    <row r="208" spans="1:17" ht="13.5" thickBot="1">
      <c r="A208" s="417"/>
      <c r="B208" s="405"/>
      <c r="C208" s="287" t="s">
        <v>84</v>
      </c>
      <c r="D208" s="287" t="s">
        <v>84</v>
      </c>
      <c r="E208" s="287" t="s">
        <v>85</v>
      </c>
      <c r="F208" s="287" t="s">
        <v>85</v>
      </c>
      <c r="G208" s="287" t="s">
        <v>85</v>
      </c>
      <c r="H208" s="368">
        <v>0.02</v>
      </c>
      <c r="I208" s="287" t="s">
        <v>20</v>
      </c>
      <c r="J208" s="121"/>
    </row>
    <row r="209" spans="1:17" ht="15" customHeight="1">
      <c r="A209" s="390" t="s">
        <v>227</v>
      </c>
      <c r="B209" s="383"/>
      <c r="C209" s="173" t="s">
        <v>242</v>
      </c>
      <c r="D209" s="148">
        <v>74065</v>
      </c>
      <c r="E209" s="237">
        <v>3975.2139999999999</v>
      </c>
      <c r="F209" s="147">
        <v>-525</v>
      </c>
      <c r="G209" s="148">
        <v>3522</v>
      </c>
      <c r="H209" s="125">
        <f>+H208</f>
        <v>0.02</v>
      </c>
      <c r="I209" s="88">
        <v>-2.1</v>
      </c>
      <c r="J209" s="174"/>
      <c r="K209" s="88">
        <f>F209*E209</f>
        <v>-2086987.3499999999</v>
      </c>
      <c r="M209" s="254">
        <v>3522</v>
      </c>
      <c r="N209" s="121">
        <f>M209/G209</f>
        <v>1</v>
      </c>
      <c r="Q209" s="248"/>
    </row>
    <row r="210" spans="1:17">
      <c r="A210" s="390" t="s">
        <v>180</v>
      </c>
      <c r="B210" s="435"/>
      <c r="C210" s="288" t="s">
        <v>243</v>
      </c>
      <c r="D210" s="148">
        <v>155349</v>
      </c>
      <c r="E210" s="238">
        <v>2699.3220000000001</v>
      </c>
      <c r="F210" s="147">
        <v>751</v>
      </c>
      <c r="G210" s="148">
        <v>3522</v>
      </c>
      <c r="H210" s="205">
        <f>+H208</f>
        <v>0.02</v>
      </c>
      <c r="I210" s="88">
        <v>2</v>
      </c>
      <c r="J210" s="174"/>
      <c r="K210" s="88">
        <f>F210*E210</f>
        <v>2027190.8220000002</v>
      </c>
      <c r="M210" s="254">
        <v>3522</v>
      </c>
      <c r="N210" s="121"/>
      <c r="Q210" s="248"/>
    </row>
    <row r="211" spans="1:17">
      <c r="A211" s="389"/>
      <c r="B211" s="454"/>
      <c r="C211" s="175" t="s">
        <v>87</v>
      </c>
      <c r="D211" s="137">
        <f>SUM(D209:D210)</f>
        <v>229414</v>
      </c>
      <c r="E211" s="239"/>
      <c r="F211" s="43"/>
      <c r="G211" s="150"/>
      <c r="H211" s="150"/>
      <c r="J211" s="174"/>
      <c r="M211" s="121"/>
      <c r="N211" s="121"/>
      <c r="Q211" s="248"/>
    </row>
    <row r="212" spans="1:17">
      <c r="A212" s="398" t="s">
        <v>181</v>
      </c>
      <c r="B212" s="385"/>
      <c r="C212" s="176" t="s">
        <v>228</v>
      </c>
      <c r="D212" s="150">
        <v>65194</v>
      </c>
      <c r="E212" s="239">
        <v>951.72400000000005</v>
      </c>
      <c r="F212" s="151">
        <f>+E212*$H$208</f>
        <v>19.034480000000002</v>
      </c>
      <c r="G212" s="150">
        <f>+E212+F212</f>
        <v>970.75848000000008</v>
      </c>
      <c r="H212" s="125">
        <f>+H208</f>
        <v>0.02</v>
      </c>
      <c r="J212" s="174"/>
      <c r="M212" s="254"/>
      <c r="N212" s="121"/>
      <c r="Q212" s="248"/>
    </row>
    <row r="213" spans="1:17">
      <c r="A213" s="398" t="s">
        <v>229</v>
      </c>
      <c r="B213" s="385"/>
      <c r="C213" s="176" t="s">
        <v>228</v>
      </c>
      <c r="D213" s="150">
        <v>534000</v>
      </c>
      <c r="E213" s="239">
        <v>574.56700000000001</v>
      </c>
      <c r="F213" s="151">
        <f>+E213*$H$208</f>
        <v>11.491340000000001</v>
      </c>
      <c r="G213" s="150">
        <f>+E213+F213</f>
        <v>586.05834000000004</v>
      </c>
      <c r="H213" s="206">
        <f>+H208</f>
        <v>0.02</v>
      </c>
      <c r="J213" s="174"/>
      <c r="M213" s="254"/>
      <c r="N213" s="121"/>
      <c r="Q213" s="248"/>
    </row>
    <row r="214" spans="1:17">
      <c r="A214" s="390" t="s">
        <v>230</v>
      </c>
      <c r="B214" s="383"/>
      <c r="C214" s="177" t="s">
        <v>244</v>
      </c>
      <c r="D214" s="148">
        <v>11412</v>
      </c>
      <c r="E214" s="237">
        <v>945.49</v>
      </c>
      <c r="F214" s="147">
        <v>-150</v>
      </c>
      <c r="G214" s="148">
        <f>+E214+F214</f>
        <v>795.49</v>
      </c>
      <c r="H214" s="125">
        <f>+H208</f>
        <v>0.02</v>
      </c>
      <c r="I214" s="88">
        <v>-0.1</v>
      </c>
      <c r="J214" s="174"/>
      <c r="M214" s="254"/>
      <c r="N214" s="121"/>
      <c r="Q214" s="248"/>
    </row>
    <row r="215" spans="1:17">
      <c r="A215" s="390" t="s">
        <v>180</v>
      </c>
      <c r="B215" s="383"/>
      <c r="C215" s="288" t="s">
        <v>245</v>
      </c>
      <c r="D215" s="148">
        <v>18896</v>
      </c>
      <c r="E215" s="238">
        <v>632.75099999999998</v>
      </c>
      <c r="F215" s="147">
        <v>163</v>
      </c>
      <c r="G215" s="148">
        <f>+E215+F215</f>
        <v>795.75099999999998</v>
      </c>
      <c r="H215" s="205">
        <f>+H208</f>
        <v>0.02</v>
      </c>
      <c r="I215" s="88">
        <v>0.1</v>
      </c>
      <c r="J215" s="174"/>
      <c r="M215" s="254"/>
      <c r="N215" s="121"/>
      <c r="Q215" s="248"/>
    </row>
    <row r="216" spans="1:17">
      <c r="A216" s="398"/>
      <c r="B216" s="385"/>
      <c r="C216" s="175" t="s">
        <v>87</v>
      </c>
      <c r="D216" s="137">
        <f>SUM(D214:D215)</f>
        <v>30308</v>
      </c>
      <c r="E216" s="239"/>
      <c r="F216" s="43"/>
      <c r="G216" s="150"/>
      <c r="H216" s="207"/>
      <c r="J216" s="174"/>
      <c r="M216" s="121"/>
      <c r="N216" s="121"/>
      <c r="Q216" s="248"/>
    </row>
    <row r="217" spans="1:17">
      <c r="A217" s="398" t="s">
        <v>263</v>
      </c>
      <c r="B217" s="385"/>
      <c r="C217" s="176" t="s">
        <v>228</v>
      </c>
      <c r="D217" s="150">
        <v>733488</v>
      </c>
      <c r="E217" s="239">
        <v>498.72</v>
      </c>
      <c r="F217" s="151">
        <f t="shared" ref="F217:F229" si="37">+E217*$H$208</f>
        <v>9.974400000000001</v>
      </c>
      <c r="G217" s="150">
        <f t="shared" ref="G217:G223" si="38">+E217+F217</f>
        <v>508.69440000000003</v>
      </c>
      <c r="H217" s="206">
        <f>+H208</f>
        <v>0.02</v>
      </c>
      <c r="I217" s="88">
        <v>9.8000000000000007</v>
      </c>
      <c r="J217" s="174"/>
      <c r="M217" s="254"/>
      <c r="N217" s="121"/>
      <c r="Q217" s="248"/>
    </row>
    <row r="218" spans="1:17">
      <c r="A218" s="379" t="s">
        <v>405</v>
      </c>
      <c r="B218" s="378"/>
      <c r="C218" s="176"/>
      <c r="D218" s="150"/>
      <c r="E218" s="239"/>
      <c r="F218" s="151"/>
      <c r="G218" s="150"/>
      <c r="H218" s="206"/>
      <c r="J218" s="174"/>
      <c r="M218" s="254"/>
      <c r="N218" s="121"/>
      <c r="Q218" s="248"/>
    </row>
    <row r="219" spans="1:17">
      <c r="A219" s="398" t="s">
        <v>231</v>
      </c>
      <c r="B219" s="385"/>
      <c r="C219" s="176" t="s">
        <v>228</v>
      </c>
      <c r="D219" s="150">
        <v>53242</v>
      </c>
      <c r="E219" s="239">
        <v>1136.6659999999999</v>
      </c>
      <c r="F219" s="151">
        <f t="shared" si="37"/>
        <v>22.733319999999999</v>
      </c>
      <c r="G219" s="150">
        <f t="shared" si="38"/>
        <v>1159.39932</v>
      </c>
      <c r="H219" s="206">
        <f>+H208</f>
        <v>0.02</v>
      </c>
      <c r="J219" s="174"/>
      <c r="M219" s="254"/>
      <c r="N219" s="121"/>
      <c r="Q219" s="248"/>
    </row>
    <row r="220" spans="1:17" ht="24" customHeight="1">
      <c r="A220" s="398" t="s">
        <v>91</v>
      </c>
      <c r="B220" s="385"/>
      <c r="C220" s="176" t="s">
        <v>228</v>
      </c>
      <c r="D220" s="150">
        <v>1556832</v>
      </c>
      <c r="E220" s="239">
        <v>39.481999999999999</v>
      </c>
      <c r="F220" s="152">
        <f t="shared" si="37"/>
        <v>0.78964000000000001</v>
      </c>
      <c r="G220" s="150">
        <f t="shared" si="38"/>
        <v>40.271639999999998</v>
      </c>
      <c r="H220" s="206">
        <f>+H208</f>
        <v>0.02</v>
      </c>
      <c r="J220" s="174"/>
      <c r="M220" s="254"/>
      <c r="N220" s="121"/>
      <c r="Q220" s="248"/>
    </row>
    <row r="221" spans="1:17">
      <c r="A221" s="466" t="s">
        <v>234</v>
      </c>
      <c r="B221" s="467"/>
      <c r="C221" s="176" t="s">
        <v>228</v>
      </c>
      <c r="D221" s="150">
        <v>4272790</v>
      </c>
      <c r="E221" s="239">
        <v>9.9743999999999993</v>
      </c>
      <c r="F221" s="236">
        <f t="shared" si="37"/>
        <v>0.199488</v>
      </c>
      <c r="G221" s="178">
        <f t="shared" si="38"/>
        <v>10.173888</v>
      </c>
      <c r="H221" s="206">
        <f>+H208</f>
        <v>0.02</v>
      </c>
      <c r="J221" s="174"/>
      <c r="M221" s="254"/>
      <c r="N221" s="121"/>
      <c r="Q221" s="248"/>
    </row>
    <row r="222" spans="1:17">
      <c r="A222" s="398" t="s">
        <v>232</v>
      </c>
      <c r="B222" s="385"/>
      <c r="C222" s="176" t="s">
        <v>228</v>
      </c>
      <c r="D222" s="150">
        <v>30228</v>
      </c>
      <c r="E222" s="239">
        <v>1136.6659999999999</v>
      </c>
      <c r="F222" s="151">
        <f t="shared" si="37"/>
        <v>22.733319999999999</v>
      </c>
      <c r="G222" s="150">
        <f t="shared" si="38"/>
        <v>1159.39932</v>
      </c>
      <c r="H222" s="206">
        <f>+H208</f>
        <v>0.02</v>
      </c>
      <c r="J222" s="174"/>
      <c r="M222" s="254"/>
      <c r="N222" s="121"/>
      <c r="Q222" s="248"/>
    </row>
    <row r="223" spans="1:17">
      <c r="A223" s="398" t="s">
        <v>233</v>
      </c>
      <c r="B223" s="385"/>
      <c r="C223" s="176" t="s">
        <v>228</v>
      </c>
      <c r="D223" s="150">
        <v>1342</v>
      </c>
      <c r="E223" s="239">
        <v>282.608</v>
      </c>
      <c r="F223" s="151">
        <f t="shared" si="37"/>
        <v>5.6521600000000003</v>
      </c>
      <c r="G223" s="150">
        <f t="shared" si="38"/>
        <v>288.26015999999998</v>
      </c>
      <c r="H223" s="206">
        <f>+H208</f>
        <v>0.02</v>
      </c>
      <c r="J223" s="174"/>
      <c r="M223" s="254"/>
      <c r="N223" s="121"/>
      <c r="Q223" s="248"/>
    </row>
    <row r="224" spans="1:17">
      <c r="A224" s="398" t="s">
        <v>372</v>
      </c>
      <c r="B224" s="385"/>
      <c r="C224" s="176" t="s">
        <v>228</v>
      </c>
      <c r="D224" s="150">
        <v>4218675</v>
      </c>
      <c r="E224" s="123">
        <v>3.4806500000000002</v>
      </c>
      <c r="F224" s="34">
        <f t="shared" si="37"/>
        <v>6.9613000000000008E-2</v>
      </c>
      <c r="G224" s="183">
        <f t="shared" ref="G224:G229" si="39">+E224+F224</f>
        <v>3.5502630000000002</v>
      </c>
      <c r="H224" s="206">
        <f>+H208</f>
        <v>0.02</v>
      </c>
      <c r="J224" s="174"/>
      <c r="M224" s="254"/>
      <c r="N224" s="121"/>
      <c r="Q224" s="248"/>
    </row>
    <row r="225" spans="1:17">
      <c r="A225" s="398" t="s">
        <v>235</v>
      </c>
      <c r="B225" s="385"/>
      <c r="C225" s="176" t="s">
        <v>228</v>
      </c>
      <c r="D225" s="150">
        <v>70471931</v>
      </c>
      <c r="E225" s="123">
        <v>0.42598999999999998</v>
      </c>
      <c r="F225" s="34">
        <f t="shared" si="37"/>
        <v>8.5197999999999992E-3</v>
      </c>
      <c r="G225" s="183">
        <f t="shared" si="39"/>
        <v>0.4345098</v>
      </c>
      <c r="H225" s="206">
        <f>+H208</f>
        <v>0.02</v>
      </c>
      <c r="J225" s="174"/>
      <c r="M225" s="254"/>
      <c r="N225" s="121"/>
      <c r="Q225" s="248"/>
    </row>
    <row r="226" spans="1:17">
      <c r="A226" s="273" t="s">
        <v>286</v>
      </c>
      <c r="B226" s="271"/>
      <c r="C226" s="176" t="s">
        <v>228</v>
      </c>
      <c r="D226" s="150">
        <v>65163</v>
      </c>
      <c r="E226" s="123">
        <v>1.6624000000000001</v>
      </c>
      <c r="F226" s="34">
        <f t="shared" si="37"/>
        <v>3.3248E-2</v>
      </c>
      <c r="G226" s="183">
        <f t="shared" si="39"/>
        <v>1.695648</v>
      </c>
      <c r="H226" s="206">
        <f>+H208</f>
        <v>0.02</v>
      </c>
      <c r="J226" s="174"/>
      <c r="M226" s="254"/>
      <c r="N226" s="121"/>
      <c r="Q226" s="248"/>
    </row>
    <row r="227" spans="1:17">
      <c r="A227" s="398" t="s">
        <v>236</v>
      </c>
      <c r="B227" s="385"/>
      <c r="C227" s="176" t="s">
        <v>228</v>
      </c>
      <c r="D227" s="150">
        <v>48432</v>
      </c>
      <c r="E227" s="239">
        <v>311.7</v>
      </c>
      <c r="F227" s="151">
        <f t="shared" si="37"/>
        <v>6.234</v>
      </c>
      <c r="G227" s="150">
        <f t="shared" si="39"/>
        <v>317.93399999999997</v>
      </c>
      <c r="H227" s="206">
        <f>+H208</f>
        <v>0.02</v>
      </c>
      <c r="J227" s="174"/>
      <c r="M227" s="254"/>
      <c r="N227" s="121"/>
      <c r="Q227" s="248"/>
    </row>
    <row r="228" spans="1:17">
      <c r="A228" s="398" t="s">
        <v>395</v>
      </c>
      <c r="B228" s="385"/>
      <c r="C228" s="176" t="s">
        <v>228</v>
      </c>
      <c r="D228" s="150">
        <v>172737</v>
      </c>
      <c r="E228" s="239">
        <v>91.432000000000002</v>
      </c>
      <c r="F228" s="151">
        <f t="shared" si="37"/>
        <v>1.82864</v>
      </c>
      <c r="G228" s="150">
        <f t="shared" si="39"/>
        <v>93.260639999999995</v>
      </c>
      <c r="H228" s="206">
        <f>+H208</f>
        <v>0.02</v>
      </c>
      <c r="J228" s="174"/>
      <c r="M228" s="254"/>
      <c r="N228" s="121"/>
      <c r="Q228" s="248"/>
    </row>
    <row r="229" spans="1:17">
      <c r="A229" s="398" t="s">
        <v>266</v>
      </c>
      <c r="B229" s="385"/>
      <c r="C229" s="176" t="s">
        <v>228</v>
      </c>
      <c r="D229" s="150">
        <v>5669</v>
      </c>
      <c r="E229" s="239">
        <v>386.50799999999998</v>
      </c>
      <c r="F229" s="151">
        <f t="shared" si="37"/>
        <v>7.7301599999999997</v>
      </c>
      <c r="G229" s="150">
        <f t="shared" si="39"/>
        <v>394.23815999999999</v>
      </c>
      <c r="H229" s="206">
        <f>+H208</f>
        <v>0.02</v>
      </c>
      <c r="J229" s="179"/>
      <c r="K229" s="179"/>
      <c r="M229" s="254"/>
      <c r="N229" s="121"/>
      <c r="Q229" s="248"/>
    </row>
    <row r="230" spans="1:17">
      <c r="A230" s="462" t="s">
        <v>240</v>
      </c>
      <c r="B230" s="463"/>
      <c r="C230" s="463"/>
      <c r="D230" s="39"/>
      <c r="E230" s="139"/>
      <c r="F230" s="140"/>
      <c r="G230" s="180"/>
      <c r="H230" s="181"/>
      <c r="I230" s="58">
        <f>+J230*H208-I233+I217+I209+I210+I214+I215</f>
        <v>20.8</v>
      </c>
      <c r="J230" s="97">
        <v>1155</v>
      </c>
      <c r="K230" s="9"/>
      <c r="Q230" s="248"/>
    </row>
    <row r="231" spans="1:17">
      <c r="A231" s="278" t="s">
        <v>237</v>
      </c>
      <c r="B231" s="286"/>
      <c r="D231" s="450" t="s">
        <v>238</v>
      </c>
      <c r="E231" s="407"/>
      <c r="F231" s="284" t="s">
        <v>247</v>
      </c>
      <c r="G231" s="284" t="s">
        <v>81</v>
      </c>
      <c r="H231" s="284" t="s">
        <v>161</v>
      </c>
      <c r="I231" s="284" t="s">
        <v>18</v>
      </c>
      <c r="K231" s="8"/>
      <c r="Q231" s="248"/>
    </row>
    <row r="232" spans="1:17">
      <c r="A232" s="278"/>
      <c r="B232" s="286"/>
      <c r="C232" s="288"/>
      <c r="D232" s="461" t="s">
        <v>241</v>
      </c>
      <c r="E232" s="397" t="s">
        <v>241</v>
      </c>
      <c r="F232" s="287" t="s">
        <v>239</v>
      </c>
      <c r="G232" s="287" t="s">
        <v>239</v>
      </c>
      <c r="H232" s="287" t="s">
        <v>239</v>
      </c>
      <c r="I232" s="287" t="s">
        <v>20</v>
      </c>
      <c r="K232" s="148"/>
      <c r="Q232" s="248"/>
    </row>
    <row r="233" spans="1:17">
      <c r="A233" s="464" t="s">
        <v>248</v>
      </c>
      <c r="B233" s="465"/>
      <c r="C233" s="465"/>
      <c r="D233" s="31"/>
      <c r="E233" s="153">
        <v>7972</v>
      </c>
      <c r="F233" s="138">
        <v>72000</v>
      </c>
      <c r="G233" s="381">
        <v>1500</v>
      </c>
      <c r="H233" s="153">
        <f>+F233+G233</f>
        <v>73500</v>
      </c>
      <c r="I233" s="30">
        <f>ROUND(E233*G233/1000000,1)</f>
        <v>12</v>
      </c>
      <c r="K233" s="182"/>
      <c r="Q233" s="248"/>
    </row>
    <row r="234" spans="1:17">
      <c r="A234" s="441" t="s">
        <v>215</v>
      </c>
      <c r="B234" s="397"/>
      <c r="C234" s="397"/>
      <c r="D234" s="397"/>
      <c r="E234" s="397"/>
      <c r="F234" s="397"/>
      <c r="G234" s="397"/>
      <c r="H234" s="118"/>
      <c r="I234" s="172">
        <v>-19.2</v>
      </c>
      <c r="J234" s="40"/>
      <c r="K234" s="8"/>
      <c r="Q234" s="248"/>
    </row>
    <row r="235" spans="1:17">
      <c r="A235" s="273" t="s">
        <v>246</v>
      </c>
      <c r="B235" s="271"/>
      <c r="C235" s="176"/>
      <c r="D235" s="32"/>
      <c r="E235" s="95"/>
      <c r="F235" s="16"/>
      <c r="G235" s="151"/>
      <c r="H235" s="150"/>
      <c r="I235" s="97">
        <f>+I233+I230+I234</f>
        <v>13.599999999999998</v>
      </c>
      <c r="J235" s="40"/>
      <c r="K235" s="8"/>
      <c r="Q235" s="248"/>
    </row>
    <row r="236" spans="1:17">
      <c r="A236" s="278"/>
      <c r="B236" s="170"/>
      <c r="C236" s="288"/>
      <c r="D236" s="17"/>
      <c r="E236" s="14"/>
      <c r="F236" s="15"/>
      <c r="G236" s="147"/>
      <c r="H236" s="148"/>
      <c r="I236" s="30"/>
      <c r="J236" s="40"/>
      <c r="Q236" s="248"/>
    </row>
    <row r="237" spans="1:17">
      <c r="A237" s="84"/>
      <c r="B237" s="84"/>
      <c r="C237" s="84"/>
      <c r="D237" s="84"/>
      <c r="E237" s="84"/>
      <c r="F237" s="84"/>
      <c r="G237" s="84"/>
      <c r="H237" s="84"/>
      <c r="I237" s="84"/>
      <c r="J237" s="84"/>
      <c r="Q237" s="248"/>
    </row>
    <row r="238" spans="1:17">
      <c r="Q238" s="248"/>
    </row>
    <row r="239" spans="1:17">
      <c r="Q239" s="248"/>
    </row>
    <row r="240" spans="1:17">
      <c r="Q240" s="248"/>
    </row>
    <row r="241" spans="17:17">
      <c r="Q241" s="248"/>
    </row>
    <row r="242" spans="17:17">
      <c r="Q242" s="248"/>
    </row>
    <row r="243" spans="17:17">
      <c r="Q243" s="248"/>
    </row>
    <row r="244" spans="17:17">
      <c r="Q244" s="248"/>
    </row>
    <row r="245" spans="17:17">
      <c r="Q245" s="248"/>
    </row>
    <row r="246" spans="17:17">
      <c r="Q246" s="248"/>
    </row>
    <row r="247" spans="17:17">
      <c r="Q247" s="248"/>
    </row>
    <row r="248" spans="17:17">
      <c r="Q248" s="248"/>
    </row>
    <row r="249" spans="17:17">
      <c r="Q249" s="248"/>
    </row>
    <row r="250" spans="17:17">
      <c r="Q250" s="248"/>
    </row>
  </sheetData>
  <mergeCells count="218">
    <mergeCell ref="A193:B193"/>
    <mergeCell ref="A192:B192"/>
    <mergeCell ref="C196:D196"/>
    <mergeCell ref="C194:D194"/>
    <mergeCell ref="A174:E174"/>
    <mergeCell ref="A203:E203"/>
    <mergeCell ref="A210:B210"/>
    <mergeCell ref="A202:G202"/>
    <mergeCell ref="A207:B207"/>
    <mergeCell ref="A206:E206"/>
    <mergeCell ref="A197:B197"/>
    <mergeCell ref="A196:B196"/>
    <mergeCell ref="A195:B195"/>
    <mergeCell ref="C200:D200"/>
    <mergeCell ref="A198:B198"/>
    <mergeCell ref="C198:D198"/>
    <mergeCell ref="C195:D195"/>
    <mergeCell ref="A182:D182"/>
    <mergeCell ref="A176:C176"/>
    <mergeCell ref="A199:B199"/>
    <mergeCell ref="C193:D193"/>
    <mergeCell ref="A183:D183"/>
    <mergeCell ref="A184:C184"/>
    <mergeCell ref="A180:D180"/>
    <mergeCell ref="A181:D181"/>
    <mergeCell ref="A186:D186"/>
    <mergeCell ref="A169:D169"/>
    <mergeCell ref="A209:B209"/>
    <mergeCell ref="A228:B228"/>
    <mergeCell ref="A189:B189"/>
    <mergeCell ref="A234:G234"/>
    <mergeCell ref="D231:E231"/>
    <mergeCell ref="D232:E232"/>
    <mergeCell ref="A230:C230"/>
    <mergeCell ref="A233:C233"/>
    <mergeCell ref="A223:B223"/>
    <mergeCell ref="A229:B229"/>
    <mergeCell ref="A224:B224"/>
    <mergeCell ref="A225:B225"/>
    <mergeCell ref="A227:B227"/>
    <mergeCell ref="A211:B211"/>
    <mergeCell ref="A212:B212"/>
    <mergeCell ref="A222:B222"/>
    <mergeCell ref="A220:B220"/>
    <mergeCell ref="A219:B219"/>
    <mergeCell ref="A221:B221"/>
    <mergeCell ref="A216:B216"/>
    <mergeCell ref="A217:B217"/>
    <mergeCell ref="A214:B214"/>
    <mergeCell ref="A215:B215"/>
    <mergeCell ref="A213:B213"/>
    <mergeCell ref="A154:B154"/>
    <mergeCell ref="A163:B163"/>
    <mergeCell ref="A164:B164"/>
    <mergeCell ref="A165:B165"/>
    <mergeCell ref="A155:B155"/>
    <mergeCell ref="A187:D187"/>
    <mergeCell ref="A179:D179"/>
    <mergeCell ref="A190:B190"/>
    <mergeCell ref="A191:B191"/>
    <mergeCell ref="C190:D190"/>
    <mergeCell ref="C165:D165"/>
    <mergeCell ref="A194:B194"/>
    <mergeCell ref="A208:B208"/>
    <mergeCell ref="C191:D191"/>
    <mergeCell ref="A201:D201"/>
    <mergeCell ref="A178:D178"/>
    <mergeCell ref="C192:D192"/>
    <mergeCell ref="C197:D197"/>
    <mergeCell ref="A158:D158"/>
    <mergeCell ref="C154:D154"/>
    <mergeCell ref="C189:D189"/>
    <mergeCell ref="A167:B167"/>
    <mergeCell ref="C199:D199"/>
    <mergeCell ref="A48:B48"/>
    <mergeCell ref="A57:B57"/>
    <mergeCell ref="A185:D185"/>
    <mergeCell ref="C47:D47"/>
    <mergeCell ref="A200:B200"/>
    <mergeCell ref="C30:D30"/>
    <mergeCell ref="A9:B9"/>
    <mergeCell ref="C10:D10"/>
    <mergeCell ref="A177:D177"/>
    <mergeCell ref="C168:D168"/>
    <mergeCell ref="A144:B144"/>
    <mergeCell ref="C42:D42"/>
    <mergeCell ref="A81:E81"/>
    <mergeCell ref="A156:B156"/>
    <mergeCell ref="A157:B157"/>
    <mergeCell ref="C157:D157"/>
    <mergeCell ref="C147:D147"/>
    <mergeCell ref="A145:B145"/>
    <mergeCell ref="A148:D148"/>
    <mergeCell ref="A153:B153"/>
    <mergeCell ref="A152:B152"/>
    <mergeCell ref="A147:B147"/>
    <mergeCell ref="A146:B146"/>
    <mergeCell ref="A170:D170"/>
    <mergeCell ref="A45:B45"/>
    <mergeCell ref="C26:D26"/>
    <mergeCell ref="A166:B166"/>
    <mergeCell ref="A34:B34"/>
    <mergeCell ref="A168:B168"/>
    <mergeCell ref="A37:B37"/>
    <mergeCell ref="A38:B38"/>
    <mergeCell ref="A43:B43"/>
    <mergeCell ref="A44:B44"/>
    <mergeCell ref="A65:C65"/>
    <mergeCell ref="A72:D72"/>
    <mergeCell ref="A52:B52"/>
    <mergeCell ref="A69:I69"/>
    <mergeCell ref="A67:D67"/>
    <mergeCell ref="C46:D46"/>
    <mergeCell ref="A70:I70"/>
    <mergeCell ref="A49:B49"/>
    <mergeCell ref="C45:D45"/>
    <mergeCell ref="C43:D43"/>
    <mergeCell ref="C44:D44"/>
    <mergeCell ref="A61:B61"/>
    <mergeCell ref="A63:B63"/>
    <mergeCell ref="A85:D85"/>
    <mergeCell ref="A73:D73"/>
    <mergeCell ref="A62:B62"/>
    <mergeCell ref="A96:B96"/>
    <mergeCell ref="A2:D2"/>
    <mergeCell ref="A3:D3"/>
    <mergeCell ref="A4:B4"/>
    <mergeCell ref="A6:B6"/>
    <mergeCell ref="A8:D8"/>
    <mergeCell ref="A15:B15"/>
    <mergeCell ref="A11:H11"/>
    <mergeCell ref="A14:E14"/>
    <mergeCell ref="A23:B23"/>
    <mergeCell ref="A16:B16"/>
    <mergeCell ref="A18:B18"/>
    <mergeCell ref="C9:D9"/>
    <mergeCell ref="A17:D17"/>
    <mergeCell ref="C22:D22"/>
    <mergeCell ref="A7:B7"/>
    <mergeCell ref="A10:B10"/>
    <mergeCell ref="A22:B22"/>
    <mergeCell ref="A19:B19"/>
    <mergeCell ref="A39:B39"/>
    <mergeCell ref="A51:B51"/>
    <mergeCell ref="A60:B60"/>
    <mergeCell ref="A66:D66"/>
    <mergeCell ref="A84:D84"/>
    <mergeCell ref="C61:D61"/>
    <mergeCell ref="A30:B30"/>
    <mergeCell ref="A46:B46"/>
    <mergeCell ref="A50:B50"/>
    <mergeCell ref="A53:B53"/>
    <mergeCell ref="A82:D82"/>
    <mergeCell ref="A20:B20"/>
    <mergeCell ref="A47:B47"/>
    <mergeCell ref="A92:I92"/>
    <mergeCell ref="C75:D75"/>
    <mergeCell ref="A74:B74"/>
    <mergeCell ref="A79:D79"/>
    <mergeCell ref="A116:D116"/>
    <mergeCell ref="A89:D89"/>
    <mergeCell ref="A90:G90"/>
    <mergeCell ref="A31:B31"/>
    <mergeCell ref="A86:D86"/>
    <mergeCell ref="C74:D74"/>
    <mergeCell ref="C77:D77"/>
    <mergeCell ref="C78:D78"/>
    <mergeCell ref="C76:D76"/>
    <mergeCell ref="A78:B78"/>
    <mergeCell ref="A77:B77"/>
    <mergeCell ref="A27:B27"/>
    <mergeCell ref="A28:B28"/>
    <mergeCell ref="C34:D34"/>
    <mergeCell ref="C52:D52"/>
    <mergeCell ref="A40:B40"/>
    <mergeCell ref="A42:B42"/>
    <mergeCell ref="A35:B35"/>
    <mergeCell ref="C144:D144"/>
    <mergeCell ref="A123:B123"/>
    <mergeCell ref="A130:B130"/>
    <mergeCell ref="A75:B75"/>
    <mergeCell ref="A54:B54"/>
    <mergeCell ref="A59:B59"/>
    <mergeCell ref="A58:B58"/>
    <mergeCell ref="A56:B56"/>
    <mergeCell ref="C62:D62"/>
    <mergeCell ref="A140:D140"/>
    <mergeCell ref="A135:D135"/>
    <mergeCell ref="A134:D134"/>
    <mergeCell ref="A128:B128"/>
    <mergeCell ref="A131:B131"/>
    <mergeCell ref="A143:B143"/>
    <mergeCell ref="A127:B127"/>
    <mergeCell ref="B115:D115"/>
    <mergeCell ref="A91:D91"/>
    <mergeCell ref="A121:B121"/>
    <mergeCell ref="A141:D141"/>
    <mergeCell ref="A142:B142"/>
    <mergeCell ref="A105:B105"/>
    <mergeCell ref="A118:D118"/>
    <mergeCell ref="A120:B120"/>
    <mergeCell ref="A125:B125"/>
    <mergeCell ref="A129:B129"/>
    <mergeCell ref="A124:B124"/>
    <mergeCell ref="B107:D107"/>
    <mergeCell ref="A108:B108"/>
    <mergeCell ref="A126:B126"/>
    <mergeCell ref="A122:B122"/>
    <mergeCell ref="A99:B99"/>
    <mergeCell ref="A87:D87"/>
    <mergeCell ref="B98:D98"/>
    <mergeCell ref="B101:D101"/>
    <mergeCell ref="A114:B114"/>
    <mergeCell ref="B110:D110"/>
    <mergeCell ref="A88:D88"/>
    <mergeCell ref="A119:D119"/>
    <mergeCell ref="A102:B102"/>
    <mergeCell ref="A111:B111"/>
  </mergeCells>
  <phoneticPr fontId="0" type="noConversion"/>
  <pageMargins left="0.35433070866141736" right="0.27559055118110237" top="0.39370078740157483" bottom="0.39370078740157483" header="0.39370078740157483" footer="0.51181102362204722"/>
  <pageSetup paperSize="9" fitToHeight="0" orientation="portrait" r:id="rId1"/>
  <headerFooter alignWithMargins="0"/>
  <rowBreaks count="1" manualBreakCount="1">
    <brk id="186" max="16383" man="1"/>
  </rowBreaks>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Hoved</vt:lpstr>
      <vt:lpstr>Hoved2</vt:lpstr>
      <vt:lpstr>Ark1</vt:lpstr>
      <vt:lpstr>Hoved!Utskriftsområde</vt:lpstr>
      <vt:lpstr>Hoved2!Utskriftsområde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Fordelingsskjema, jordbruksoppgjøret 1995</dc:title>
  <dc:creator>Landbruksdepartementet</dc:creator>
  <cp:lastModifiedBy>ijsaterbakk</cp:lastModifiedBy>
  <cp:lastPrinted>2014-06-02T12:09:00Z</cp:lastPrinted>
  <dcterms:created xsi:type="dcterms:W3CDTF">1998-03-04T14:03:49Z</dcterms:created>
  <dcterms:modified xsi:type="dcterms:W3CDTF">2014-06-04T08:43:08Z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osl-public-prog</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485052</vt:lpwstr>
  </property>
  <property fmtid="{D5CDD505-2E9C-101B-9397-08002B2CF9AE}" pid="7" name="VerID">
    <vt:lpwstr>0</vt:lpwstr>
  </property>
  <property fmtid="{D5CDD505-2E9C-101B-9397-08002B2CF9AE}" pid="8" name="FilePath">
    <vt:lpwstr>\\OSL-PUBLIC-PROG\360users\work\bs\ajh</vt:lpwstr>
  </property>
  <property fmtid="{D5CDD505-2E9C-101B-9397-08002B2CF9AE}" pid="9" name="FileName">
    <vt:lpwstr>13-01322-82 fordeling-1504-2-ukalk.xlsx 485052_2_0.XLSX</vt:lpwstr>
  </property>
  <property fmtid="{D5CDD505-2E9C-101B-9397-08002B2CF9AE}" pid="10" name="FullFileName">
    <vt:lpwstr>\\OSL-PUBLIC-PROG\360users\work\bs\ajh\13-01322-82 fordeling-1504-2-ukalk.xlsx 485052_2_0.XLSX</vt:lpwstr>
  </property>
</Properties>
</file>