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0" yWindow="1680" windowWidth="12120" windowHeight="6405" tabRatio="601" firstSheet="1" activeTab="1"/>
  </bookViews>
  <sheets>
    <sheet name="tilbud" sheetId="1" state="hidden" r:id="rId1"/>
    <sheet name="Utslag" sheetId="2" r:id="rId2"/>
    <sheet name="Satser" sheetId="3" state="hidden" r:id="rId3"/>
    <sheet name="Ark5" sheetId="4" state="hidden" r:id="rId4"/>
    <sheet name="Ark6" sheetId="5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</sheets>
  <definedNames>
    <definedName name="AK">Satser!#REF!</definedName>
    <definedName name="AK_korn3">tilbud!$B$3:$I$15</definedName>
    <definedName name="AKkorn2">Satser!$B$3:$I$19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Satser!$A$69:$I$73</definedName>
    <definedName name="pleie">Satser!$A$42:$I$46</definedName>
    <definedName name="_xlnm.Print_Area" localSheetId="1">Utslag!$A$1:$F$57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Utslag!$A$1:$F$57</definedName>
    <definedName name="Z_CCA592C6_FA5B_4C3F_AAFD_7D399E08D11C_.wvu.Rows" localSheetId="1" hidden="1">Utslag!$8:$9,Utslag!$55:$55</definedName>
    <definedName name="økohusd">Satser!#REF!</definedName>
    <definedName name="Økologisk">Satser!#REF!</definedName>
  </definedNames>
  <calcPr calcId="125725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19" i="2"/>
  <c r="F34" l="1"/>
  <c r="F30"/>
  <c r="F29"/>
  <c r="H283" i="3"/>
  <c r="F20" i="2"/>
  <c r="F18"/>
  <c r="E92" i="3" l="1"/>
  <c r="G92" s="1"/>
  <c r="F92" l="1"/>
  <c r="F42" i="2" l="1"/>
  <c r="F41"/>
  <c r="F24"/>
  <c r="D268" i="3"/>
  <c r="E271"/>
  <c r="D265"/>
  <c r="D264" s="1"/>
  <c r="F22" i="2"/>
  <c r="F21"/>
  <c r="F17"/>
  <c r="E73" i="3"/>
  <c r="G73" s="1"/>
  <c r="D267"/>
  <c r="F15" i="2"/>
  <c r="F14"/>
  <c r="D23" i="3"/>
  <c r="I23"/>
  <c r="D24"/>
  <c r="I24"/>
  <c r="C25"/>
  <c r="D25"/>
  <c r="C26"/>
  <c r="D26"/>
  <c r="C27"/>
  <c r="D27"/>
  <c r="D28"/>
  <c r="C29"/>
  <c r="D29"/>
  <c r="C30"/>
  <c r="D30"/>
  <c r="D31"/>
  <c r="C32"/>
  <c r="D32"/>
  <c r="C33"/>
  <c r="D33"/>
  <c r="D34"/>
  <c r="C35"/>
  <c r="D35"/>
  <c r="C36"/>
  <c r="D36"/>
  <c r="D37"/>
  <c r="C38"/>
  <c r="D38"/>
  <c r="E45"/>
  <c r="F45" s="1"/>
  <c r="I45"/>
  <c r="E46"/>
  <c r="G46" s="1"/>
  <c r="I46"/>
  <c r="E47"/>
  <c r="F47" s="1"/>
  <c r="I47"/>
  <c r="E50"/>
  <c r="G50" s="1"/>
  <c r="E51"/>
  <c r="F51" s="1"/>
  <c r="E54"/>
  <c r="G54" s="1"/>
  <c r="E55"/>
  <c r="G55" s="1"/>
  <c r="E58"/>
  <c r="F58" s="1"/>
  <c r="F59"/>
  <c r="G59"/>
  <c r="E63"/>
  <c r="G63" s="1"/>
  <c r="E64"/>
  <c r="G64" s="1"/>
  <c r="E65"/>
  <c r="G65" s="1"/>
  <c r="E66"/>
  <c r="F66" s="1"/>
  <c r="E67"/>
  <c r="G67" s="1"/>
  <c r="E70"/>
  <c r="G70" s="1"/>
  <c r="E71"/>
  <c r="F71" s="1"/>
  <c r="E72"/>
  <c r="G72" s="1"/>
  <c r="E76"/>
  <c r="G76" s="1"/>
  <c r="E77"/>
  <c r="F77" s="1"/>
  <c r="E78"/>
  <c r="G78" s="1"/>
  <c r="E79"/>
  <c r="E82"/>
  <c r="G82" s="1"/>
  <c r="F83"/>
  <c r="G83"/>
  <c r="F84"/>
  <c r="G84"/>
  <c r="E87"/>
  <c r="G87" s="1"/>
  <c r="E89"/>
  <c r="F89" s="1"/>
  <c r="F90"/>
  <c r="G90"/>
  <c r="F91"/>
  <c r="G91"/>
  <c r="F94"/>
  <c r="G94"/>
  <c r="C177"/>
  <c r="C179" s="1"/>
  <c r="C181" s="1"/>
  <c r="C178"/>
  <c r="C183" s="1"/>
  <c r="B207"/>
  <c r="C207"/>
  <c r="B208"/>
  <c r="E112" s="1"/>
  <c r="G112" s="1"/>
  <c r="C208"/>
  <c r="B212"/>
  <c r="E115" s="1"/>
  <c r="C212"/>
  <c r="B216"/>
  <c r="E118" s="1"/>
  <c r="C216"/>
  <c r="B217"/>
  <c r="E119" s="1"/>
  <c r="C217"/>
  <c r="B220"/>
  <c r="D220" s="1"/>
  <c r="E221" s="1"/>
  <c r="C220"/>
  <c r="B224"/>
  <c r="E125" s="1"/>
  <c r="C224"/>
  <c r="B228"/>
  <c r="E128" s="1"/>
  <c r="C228"/>
  <c r="B233"/>
  <c r="C233"/>
  <c r="B237"/>
  <c r="E134" s="1"/>
  <c r="F134" s="1"/>
  <c r="C237"/>
  <c r="B241"/>
  <c r="C24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F271"/>
  <c r="G271"/>
  <c r="E272"/>
  <c r="F272"/>
  <c r="G272"/>
  <c r="C305"/>
  <c r="C307"/>
  <c r="F5" i="2"/>
  <c r="H5"/>
  <c r="F6"/>
  <c r="H6"/>
  <c r="F7"/>
  <c r="H7"/>
  <c r="H8"/>
  <c r="H9"/>
  <c r="F8"/>
  <c r="H10"/>
  <c r="F9"/>
  <c r="H11"/>
  <c r="F10"/>
  <c r="F11"/>
  <c r="F12"/>
  <c r="H15"/>
  <c r="F13"/>
  <c r="H16"/>
  <c r="H22"/>
  <c r="F25"/>
  <c r="H24"/>
  <c r="F28"/>
  <c r="H27"/>
  <c r="H31"/>
  <c r="D22" i="1"/>
  <c r="I22"/>
  <c r="D23"/>
  <c r="I23"/>
  <c r="C24"/>
  <c r="D24"/>
  <c r="C25"/>
  <c r="D25"/>
  <c r="C26"/>
  <c r="D26"/>
  <c r="C27"/>
  <c r="D27"/>
  <c r="C28"/>
  <c r="D28"/>
  <c r="D29"/>
  <c r="C30"/>
  <c r="C32" s="1"/>
  <c r="D30"/>
  <c r="C31"/>
  <c r="D31"/>
  <c r="D32"/>
  <c r="C33"/>
  <c r="D33"/>
  <c r="C34"/>
  <c r="C35" s="1"/>
  <c r="D34"/>
  <c r="D35"/>
  <c r="C36"/>
  <c r="D36"/>
  <c r="C43"/>
  <c r="E89" s="1"/>
  <c r="C44"/>
  <c r="E90" s="1"/>
  <c r="C45"/>
  <c r="E45" s="1"/>
  <c r="C48"/>
  <c r="E94" s="1"/>
  <c r="C49"/>
  <c r="E49" s="1"/>
  <c r="C52"/>
  <c r="E52" s="1"/>
  <c r="F54" s="1"/>
  <c r="C53"/>
  <c r="E99" s="1"/>
  <c r="C56"/>
  <c r="E56" s="1"/>
  <c r="F60" s="1"/>
  <c r="C57"/>
  <c r="E57" s="1"/>
  <c r="C58"/>
  <c r="E58" s="1"/>
  <c r="C59"/>
  <c r="E59" s="1"/>
  <c r="C62"/>
  <c r="E62" s="1"/>
  <c r="F63" s="1"/>
  <c r="C69"/>
  <c r="E69" s="1"/>
  <c r="F72" s="1"/>
  <c r="C70"/>
  <c r="E116" s="1"/>
  <c r="C71"/>
  <c r="E117" s="1"/>
  <c r="C74"/>
  <c r="E74" s="1"/>
  <c r="F78" s="1"/>
  <c r="C75"/>
  <c r="E121" s="1"/>
  <c r="C76"/>
  <c r="E76" s="1"/>
  <c r="C77"/>
  <c r="E77" s="1"/>
  <c r="F79"/>
  <c r="D89"/>
  <c r="D90"/>
  <c r="D91"/>
  <c r="D94"/>
  <c r="D95"/>
  <c r="D98"/>
  <c r="D99"/>
  <c r="D102"/>
  <c r="E102"/>
  <c r="G102" s="1"/>
  <c r="D103"/>
  <c r="E103"/>
  <c r="E104"/>
  <c r="G104" s="1"/>
  <c r="E105"/>
  <c r="G105" s="1"/>
  <c r="F105"/>
  <c r="D109"/>
  <c r="D110"/>
  <c r="D111"/>
  <c r="E111"/>
  <c r="G111" s="1"/>
  <c r="D112"/>
  <c r="D115"/>
  <c r="D116"/>
  <c r="D117"/>
  <c r="D120"/>
  <c r="D121"/>
  <c r="D122"/>
  <c r="D126"/>
  <c r="E126"/>
  <c r="G126" s="1"/>
  <c r="D127"/>
  <c r="G127" s="1"/>
  <c r="F127"/>
  <c r="D128"/>
  <c r="F128"/>
  <c r="G128"/>
  <c r="D131"/>
  <c r="E131"/>
  <c r="G131" s="1"/>
  <c r="F131"/>
  <c r="D132"/>
  <c r="E132"/>
  <c r="F132" s="1"/>
  <c r="D133"/>
  <c r="E133"/>
  <c r="F133" s="1"/>
  <c r="D134"/>
  <c r="F134"/>
  <c r="G134"/>
  <c r="D135"/>
  <c r="G135" s="1"/>
  <c r="F135"/>
  <c r="D138"/>
  <c r="G138" s="1"/>
  <c r="F138"/>
  <c r="D153"/>
  <c r="D154"/>
  <c r="D157"/>
  <c r="C250" s="1"/>
  <c r="D160"/>
  <c r="D161"/>
  <c r="D164"/>
  <c r="D167"/>
  <c r="C262" s="1"/>
  <c r="D170"/>
  <c r="D173"/>
  <c r="D176"/>
  <c r="D179"/>
  <c r="D182"/>
  <c r="D185"/>
  <c r="D188"/>
  <c r="D191"/>
  <c r="C279" s="1"/>
  <c r="D194"/>
  <c r="D197"/>
  <c r="C216"/>
  <c r="C217"/>
  <c r="C218"/>
  <c r="C219" s="1"/>
  <c r="C221" s="1"/>
  <c r="C223" s="1"/>
  <c r="H21" i="2" s="1"/>
  <c r="H30" s="1"/>
  <c r="C220" i="1"/>
  <c r="C222"/>
  <c r="B245"/>
  <c r="D245" s="1"/>
  <c r="E246" s="1"/>
  <c r="E282" s="1"/>
  <c r="D210" s="1"/>
  <c r="C245"/>
  <c r="B246"/>
  <c r="C246"/>
  <c r="B250"/>
  <c r="E157" s="1"/>
  <c r="B254"/>
  <c r="E160" s="1"/>
  <c r="C254"/>
  <c r="B255"/>
  <c r="E161" s="1"/>
  <c r="C255"/>
  <c r="B258"/>
  <c r="C258"/>
  <c r="B262"/>
  <c r="E167" s="1"/>
  <c r="B266"/>
  <c r="C266"/>
  <c r="B271"/>
  <c r="E173" s="1"/>
  <c r="C271"/>
  <c r="B275"/>
  <c r="E176" s="1"/>
  <c r="C275"/>
  <c r="B279"/>
  <c r="E191" s="1"/>
  <c r="E287"/>
  <c r="G287" s="1"/>
  <c r="G295" s="1"/>
  <c r="E288"/>
  <c r="G288" s="1"/>
  <c r="E289"/>
  <c r="G289" s="1"/>
  <c r="E290"/>
  <c r="G290" s="1"/>
  <c r="E291"/>
  <c r="G291" s="1"/>
  <c r="F291"/>
  <c r="H291" s="1"/>
  <c r="H295" s="1"/>
  <c r="H296" s="1"/>
  <c r="E292"/>
  <c r="G292"/>
  <c r="F292"/>
  <c r="H292" s="1"/>
  <c r="E293"/>
  <c r="G293" s="1"/>
  <c r="E294"/>
  <c r="G294" s="1"/>
  <c r="E110"/>
  <c r="F110" s="1"/>
  <c r="E53"/>
  <c r="F126"/>
  <c r="F104"/>
  <c r="E91"/>
  <c r="F91" s="1"/>
  <c r="E149" i="3"/>
  <c r="G149" s="1"/>
  <c r="G91" i="1"/>
  <c r="E88" i="3" l="1"/>
  <c r="G88" s="1"/>
  <c r="E35" i="1"/>
  <c r="D241" i="3"/>
  <c r="E242" s="1"/>
  <c r="G117" i="1"/>
  <c r="F117"/>
  <c r="E122"/>
  <c r="F122" s="1"/>
  <c r="G103"/>
  <c r="E71"/>
  <c r="E27"/>
  <c r="H18" i="2"/>
  <c r="H32" s="1"/>
  <c r="D233" i="3"/>
  <c r="E234" s="1"/>
  <c r="G133" i="1"/>
  <c r="E34"/>
  <c r="E32"/>
  <c r="F54" i="3"/>
  <c r="D266" i="1"/>
  <c r="E267" s="1"/>
  <c r="D258"/>
  <c r="E259" s="1"/>
  <c r="D246"/>
  <c r="E36"/>
  <c r="E31"/>
  <c r="F82" i="3"/>
  <c r="F125"/>
  <c r="G125"/>
  <c r="D224"/>
  <c r="E225" s="1"/>
  <c r="D212"/>
  <c r="E213" s="1"/>
  <c r="F87"/>
  <c r="G157" i="1"/>
  <c r="F157"/>
  <c r="G110"/>
  <c r="E98"/>
  <c r="D271"/>
  <c r="E272" s="1"/>
  <c r="E95"/>
  <c r="E33"/>
  <c r="E25"/>
  <c r="D279"/>
  <c r="E280" s="1"/>
  <c r="D271" i="3"/>
  <c r="H271" s="1"/>
  <c r="F149"/>
  <c r="E109" i="1"/>
  <c r="E70"/>
  <c r="D250"/>
  <c r="E251" s="1"/>
  <c r="F111"/>
  <c r="G132"/>
  <c r="E30"/>
  <c r="C29"/>
  <c r="E29" s="1"/>
  <c r="E26"/>
  <c r="E24"/>
  <c r="C34" i="3"/>
  <c r="E34" s="1"/>
  <c r="F43" i="2"/>
  <c r="D207" i="3"/>
  <c r="D272"/>
  <c r="H272" s="1"/>
  <c r="E30"/>
  <c r="F78"/>
  <c r="D255" i="1"/>
  <c r="C22"/>
  <c r="C23" s="1"/>
  <c r="E23" s="1"/>
  <c r="F73" i="3"/>
  <c r="E33"/>
  <c r="G89"/>
  <c r="D208"/>
  <c r="F55"/>
  <c r="F50"/>
  <c r="G58"/>
  <c r="E35"/>
  <c r="C31"/>
  <c r="E31" s="1"/>
  <c r="E27"/>
  <c r="E25"/>
  <c r="F67"/>
  <c r="C23"/>
  <c r="E23" s="1"/>
  <c r="F63"/>
  <c r="F76"/>
  <c r="E38"/>
  <c r="I71"/>
  <c r="G71"/>
  <c r="D216"/>
  <c r="D237"/>
  <c r="E238" s="1"/>
  <c r="G47"/>
  <c r="E32"/>
  <c r="F65"/>
  <c r="C37"/>
  <c r="E37" s="1"/>
  <c r="E29"/>
  <c r="E26"/>
  <c r="F16" i="2"/>
  <c r="F119" i="3"/>
  <c r="G119"/>
  <c r="F115"/>
  <c r="G115"/>
  <c r="F128"/>
  <c r="G128"/>
  <c r="G118"/>
  <c r="F118"/>
  <c r="G259"/>
  <c r="H260" s="1"/>
  <c r="C28"/>
  <c r="E28" s="1"/>
  <c r="I73"/>
  <c r="G77"/>
  <c r="F70"/>
  <c r="E131"/>
  <c r="E122"/>
  <c r="F72"/>
  <c r="G66"/>
  <c r="G51"/>
  <c r="F112"/>
  <c r="D217"/>
  <c r="D228"/>
  <c r="E229" s="1"/>
  <c r="G134"/>
  <c r="E36"/>
  <c r="I70"/>
  <c r="F46"/>
  <c r="F64"/>
  <c r="E111"/>
  <c r="G45"/>
  <c r="F160" i="1"/>
  <c r="G160"/>
  <c r="F90"/>
  <c r="G90"/>
  <c r="G176"/>
  <c r="F176"/>
  <c r="F173"/>
  <c r="G173"/>
  <c r="F167"/>
  <c r="G167"/>
  <c r="G161"/>
  <c r="F161"/>
  <c r="G99"/>
  <c r="F99"/>
  <c r="G94"/>
  <c r="F94"/>
  <c r="F191"/>
  <c r="G191"/>
  <c r="G121"/>
  <c r="F121"/>
  <c r="F116"/>
  <c r="G116"/>
  <c r="F89"/>
  <c r="F139" s="1"/>
  <c r="G89"/>
  <c r="G139" s="1"/>
  <c r="E170"/>
  <c r="E164"/>
  <c r="E154"/>
  <c r="E75"/>
  <c r="E48"/>
  <c r="F50" s="1"/>
  <c r="E44"/>
  <c r="D262"/>
  <c r="E263" s="1"/>
  <c r="E153"/>
  <c r="G122"/>
  <c r="E120"/>
  <c r="F103"/>
  <c r="F102"/>
  <c r="E112"/>
  <c r="E43"/>
  <c r="F46" s="1"/>
  <c r="E28"/>
  <c r="D254"/>
  <c r="E256" s="1"/>
  <c r="D275"/>
  <c r="E276" s="1"/>
  <c r="E115"/>
  <c r="F88" i="3" l="1"/>
  <c r="F97" s="1"/>
  <c r="F99" s="1"/>
  <c r="E208"/>
  <c r="E22" i="1"/>
  <c r="E37" s="1"/>
  <c r="H26" i="2" s="1"/>
  <c r="C24" i="3"/>
  <c r="E24" s="1"/>
  <c r="E39" s="1"/>
  <c r="F26" i="2" s="1"/>
  <c r="G95" i="1"/>
  <c r="F95"/>
  <c r="G109"/>
  <c r="F109"/>
  <c r="G98"/>
  <c r="F98"/>
  <c r="D273" i="3"/>
  <c r="E273"/>
  <c r="F273"/>
  <c r="G273"/>
  <c r="E218"/>
  <c r="G111"/>
  <c r="F111"/>
  <c r="F122"/>
  <c r="G122"/>
  <c r="G97"/>
  <c r="G99" s="1"/>
  <c r="F131"/>
  <c r="G131"/>
  <c r="G153" i="1"/>
  <c r="G199" s="1"/>
  <c r="F153"/>
  <c r="F199" s="1"/>
  <c r="F112"/>
  <c r="G112"/>
  <c r="G170"/>
  <c r="F170"/>
  <c r="F115"/>
  <c r="G115"/>
  <c r="F83"/>
  <c r="D149" s="1"/>
  <c r="F65"/>
  <c r="G120"/>
  <c r="F120"/>
  <c r="G164"/>
  <c r="F164"/>
  <c r="I145"/>
  <c r="C146"/>
  <c r="C145"/>
  <c r="C144"/>
  <c r="I146"/>
  <c r="C143"/>
  <c r="C147" s="1"/>
  <c r="I144"/>
  <c r="I143"/>
  <c r="I147" s="1"/>
  <c r="G154"/>
  <c r="F154"/>
  <c r="E244" i="3" l="1"/>
  <c r="D168" s="1"/>
  <c r="H273"/>
  <c r="H274" s="1"/>
  <c r="H282" s="1"/>
  <c r="F157"/>
  <c r="G157"/>
  <c r="D107"/>
  <c r="I101"/>
  <c r="I104"/>
  <c r="C101"/>
  <c r="I102"/>
  <c r="C104"/>
  <c r="C102"/>
  <c r="I103"/>
  <c r="C103"/>
  <c r="C203" i="1"/>
  <c r="C207" s="1"/>
  <c r="H28" i="2" s="1"/>
  <c r="C206" i="1"/>
  <c r="C205"/>
  <c r="C204"/>
  <c r="G28" i="2" s="1"/>
  <c r="C162" i="3" l="1"/>
  <c r="F23" i="2"/>
  <c r="C186" i="3" s="1"/>
  <c r="C163"/>
  <c r="C164"/>
  <c r="C161"/>
  <c r="E27" i="2"/>
  <c r="C105" i="3"/>
  <c r="F27" i="2" s="1"/>
  <c r="I105" i="3"/>
  <c r="C165" l="1"/>
  <c r="F31" i="2" s="1"/>
  <c r="F33" s="1"/>
  <c r="F35" s="1"/>
  <c r="F44" s="1"/>
  <c r="C185" i="3"/>
  <c r="C184"/>
  <c r="C187"/>
  <c r="C188"/>
  <c r="E31" i="2"/>
</calcChain>
</file>

<file path=xl/comments1.xml><?xml version="1.0" encoding="utf-8"?>
<comments xmlns="http://schemas.openxmlformats.org/spreadsheetml/2006/main">
  <authors>
    <author>BrukerBondelaget</author>
  </authors>
  <commentList>
    <comment ref="E59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  <comment ref="F267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</commentList>
</comments>
</file>

<file path=xl/sharedStrings.xml><?xml version="1.0" encoding="utf-8"?>
<sst xmlns="http://schemas.openxmlformats.org/spreadsheetml/2006/main" count="694" uniqueCount="274">
  <si>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</si>
  <si>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</si>
  <si>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</si>
  <si>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</si>
  <si>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</si>
  <si>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</si>
  <si>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</si>
  <si>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</si>
  <si>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</si>
  <si>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</si>
  <si>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</si>
  <si>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</si>
  <si>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</si>
  <si>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</si>
  <si>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</si>
  <si>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</si>
  <si>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</si>
  <si>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</si>
  <si>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</si>
  <si>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</si>
  <si>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</si>
  <si>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</si>
  <si>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</si>
  <si>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</si>
  <si>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</si>
  <si>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</si>
  <si>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</si>
  <si>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</si>
  <si>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</si>
  <si>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</si>
  <si>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</si>
  <si>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</si>
  <si>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</si>
  <si>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</si>
  <si>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</si>
  <si>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</si>
  <si>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</si>
  <si>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</si>
  <si>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</si>
  <si>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</si>
  <si>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</si>
  <si>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</si>
  <si>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</si>
  <si>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</si>
  <si>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</si>
  <si>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</si>
  <si>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</si>
  <si>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</si>
  <si>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</si>
  <si>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</si>
  <si>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</si>
  <si>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</si>
  <si>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</si>
  <si>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</si>
  <si>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</si>
  <si>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</si>
  <si>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</si>
  <si>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</si>
  <si>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</si>
  <si>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</si>
  <si>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</si>
  <si>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</si>
  <si>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</si>
  <si>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</si>
  <si>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>Utmarksbeitetilskudd</t>
  </si>
  <si>
    <t xml:space="preserve">1) Forutsatt ingen kostnadsvekst i leddene mellom bonde og målprispunkt. </t>
  </si>
  <si>
    <t>Mjølkegeit</t>
  </si>
  <si>
    <t>Bunnfradrag</t>
  </si>
  <si>
    <t>Husdyrtilskudd</t>
  </si>
  <si>
    <t>Salgskvantum:</t>
  </si>
  <si>
    <t>Husdyr:</t>
  </si>
  <si>
    <t>Oljefrø</t>
  </si>
  <si>
    <t>Hvis JA, hvor mange medlemmer?</t>
  </si>
  <si>
    <t>Innmarksbeite</t>
  </si>
  <si>
    <t>Grovfôr, fulldyrka og overflatedyrka</t>
  </si>
  <si>
    <t>Samdrift i melkeproduksjon "etablert" før 01.07.04?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</si>
  <si>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</si>
  <si>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</si>
  <si>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</si>
  <si>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</si>
  <si>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</si>
  <si>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</si>
  <si>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</si>
  <si>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Arealtilskudd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</si>
  <si>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</si>
  <si>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</si>
  <si>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</si>
  <si>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</si>
  <si>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</si>
  <si>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</si>
  <si>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</si>
  <si>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</si>
  <si>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</si>
  <si>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</si>
  <si>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</si>
  <si>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</si>
  <si>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</si>
  <si>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</si>
  <si>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</si>
  <si>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</si>
  <si>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</si>
  <si>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</si>
  <si>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</si>
  <si>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</si>
  <si>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</si>
  <si>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</si>
  <si>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</si>
  <si>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</si>
  <si>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</si>
  <si>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</si>
  <si>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</si>
  <si>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</si>
  <si>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</si>
  <si>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</si>
  <si>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</si>
  <si>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</si>
  <si>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</si>
  <si>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</si>
  <si>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</si>
  <si>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</si>
  <si>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</si>
  <si>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</si>
  <si>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</si>
  <si>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</si>
  <si>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</si>
  <si>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</si>
  <si>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</si>
  <si>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>Sau over 1 år og ammegeiter</t>
  </si>
  <si>
    <t xml:space="preserve">Legg inn tall for ditt bruk: </t>
  </si>
  <si>
    <t>Matkorn (hvete, rug)</t>
  </si>
  <si>
    <t xml:space="preserve">Kvalitetstilskudd lam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</si>
  <si>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</si>
  <si>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</si>
  <si>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</si>
  <si>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</si>
  <si>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</si>
  <si>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</rPr>
      <t xml:space="preserve"> </t>
    </r>
  </si>
  <si>
    <t>SUM avløsertilskudd</t>
  </si>
  <si>
    <t>Gml.</t>
  </si>
  <si>
    <t>Avløser- ferie og fritid</t>
  </si>
  <si>
    <t>SUM endring avløsertilskudd</t>
  </si>
  <si>
    <t>Beite:</t>
  </si>
  <si>
    <t>Sum tilskudd:</t>
  </si>
  <si>
    <t>Utslag for ditt bruk.</t>
  </si>
  <si>
    <t>Kylling</t>
  </si>
  <si>
    <t>NY SATS 2008</t>
  </si>
  <si>
    <t>Beitetilskudd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</si>
  <si>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</si>
  <si>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</si>
  <si>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</si>
  <si>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</si>
  <si>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</si>
  <si>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</si>
  <si>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</si>
  <si>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</si>
  <si>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</si>
  <si>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</si>
  <si>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</si>
  <si>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</si>
  <si>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</si>
  <si>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</si>
  <si>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</si>
  <si>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</si>
  <si>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</si>
  <si>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</si>
  <si>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</si>
  <si>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</si>
  <si>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</si>
  <si>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</si>
  <si>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</si>
  <si>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</si>
  <si>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</si>
  <si>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</si>
  <si>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</si>
  <si>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</si>
  <si>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</si>
  <si>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</si>
  <si>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</si>
  <si>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Bygg</t>
  </si>
  <si>
    <t>Havre</t>
  </si>
  <si>
    <t>0-400 dekar</t>
  </si>
  <si>
    <t>400-800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</si>
  <si>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</si>
  <si>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</si>
  <si>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</si>
  <si>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</si>
  <si>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</si>
  <si>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</si>
  <si>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</si>
  <si>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</si>
  <si>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</si>
  <si>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</si>
  <si>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</si>
  <si>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</si>
  <si>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</si>
  <si>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</si>
  <si>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</si>
  <si>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</si>
  <si>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</si>
  <si>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</si>
  <si>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</si>
  <si>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</si>
  <si>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</si>
  <si>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</si>
  <si>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</si>
  <si>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</si>
  <si>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</si>
  <si>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50-75</t>
  </si>
  <si>
    <t>Målpriser</t>
  </si>
  <si>
    <t>Kr/bruk</t>
  </si>
  <si>
    <t>Grunntilskudd geitmelk</t>
  </si>
  <si>
    <t>Kostnader</t>
  </si>
  <si>
    <t>pr dyr</t>
  </si>
  <si>
    <t>2 medl</t>
  </si>
  <si>
    <t>Mathvete og matrug</t>
  </si>
  <si>
    <t>Bruttoinntekter av frukt</t>
  </si>
  <si>
    <t>Bruttoinntekter av  grønt</t>
  </si>
  <si>
    <t>60-80 dekar</t>
  </si>
  <si>
    <t>Melk (ku og geit)</t>
  </si>
  <si>
    <r>
      <t xml:space="preserve">Kraftfôrkostnader </t>
    </r>
    <r>
      <rPr>
        <sz val="11"/>
        <color indexed="10"/>
        <rFont val="Arial"/>
        <family val="2"/>
      </rPr>
      <t>2)</t>
    </r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</si>
  <si>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</si>
  <si>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</si>
  <si>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0-250 dekar</t>
  </si>
  <si>
    <t>Over 250 dekar</t>
  </si>
  <si>
    <t>Kr</t>
  </si>
  <si>
    <t>Fjørfekjøtt</t>
  </si>
  <si>
    <t xml:space="preserve">NB! NB! DETTE UTSLAGET ER IKKE DET SAMME SOM ØKT INNTEKT !!! </t>
  </si>
  <si>
    <t>Antatt kostnadsvekst:</t>
  </si>
  <si>
    <t>Samlet gjeld på jordbruksdrifta</t>
  </si>
  <si>
    <t>Driftskostnader (Variable + Faste)</t>
  </si>
  <si>
    <t>Driftskostnader</t>
  </si>
  <si>
    <t>Rentekostnader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</si>
  <si>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</si>
  <si>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</si>
  <si>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</si>
  <si>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r>
      <t xml:space="preserve">Ku, storfe, hjort, hest minst 8 uker </t>
    </r>
    <r>
      <rPr>
        <u/>
        <sz val="11"/>
        <rFont val="Arial"/>
        <family val="2"/>
      </rPr>
      <t>utmarksbeite</t>
    </r>
  </si>
  <si>
    <r>
      <t xml:space="preserve">Sau, lam, geiter minst 8 uker </t>
    </r>
    <r>
      <rPr>
        <u/>
        <sz val="11"/>
        <rFont val="Arial"/>
        <family val="2"/>
      </rPr>
      <t>utmarksbeite</t>
    </r>
  </si>
  <si>
    <t>Storfe forventet prisvekst</t>
  </si>
  <si>
    <t>Fjørfe forventet prisvekst</t>
  </si>
  <si>
    <t>Distriktstilskudd kjøtt</t>
  </si>
  <si>
    <t>Distriktstilskudd melk</t>
  </si>
  <si>
    <t>50 +</t>
  </si>
  <si>
    <t>3) Følgende større elementer er ikke tatt med i utslagsberegningene:</t>
  </si>
  <si>
    <t xml:space="preserve"> * Satsene for sykeavløsning økes, maks sats med 100 kr/dag.</t>
  </si>
  <si>
    <t>0,00 kr/kg</t>
  </si>
  <si>
    <t>4,3 %</t>
  </si>
  <si>
    <t>1,4 %</t>
  </si>
  <si>
    <t>Tilskudd til ull</t>
  </si>
  <si>
    <t>Ull</t>
  </si>
  <si>
    <t>NY SATS 2014</t>
  </si>
  <si>
    <t>Utslag i 2014</t>
  </si>
  <si>
    <t xml:space="preserve">2) Pga økte fôrkornpriser, delvis kompensert med prisnedskriving. </t>
  </si>
  <si>
    <t>%</t>
  </si>
  <si>
    <t>Kvalitetstilskudd storfekjøtt</t>
  </si>
  <si>
    <t>Hjort</t>
  </si>
  <si>
    <t xml:space="preserve"> * 9,5 mill. kr i økt bevilgning til Norsk landbruksrådgiving (grunnlag for lavere kontingent)</t>
  </si>
  <si>
    <t>SUM UTSLAG 2014 ETTER KOSTNADSDEKKING</t>
  </si>
  <si>
    <t>Utslag av jordbruksoppgjøret 2013-2014</t>
  </si>
  <si>
    <t>23 øre/liter</t>
  </si>
  <si>
    <t>3,50 kr/kg</t>
  </si>
  <si>
    <t>20 og 18 øre/kg</t>
  </si>
  <si>
    <t>25 øre/kg</t>
  </si>
  <si>
    <t>2,7 prosent</t>
  </si>
  <si>
    <t>Herav i prosent klasse O eller bedre (ekskl. "ku")</t>
  </si>
  <si>
    <t>3,70 kr/kg</t>
  </si>
  <si>
    <r>
      <t>SUM UTSLAG 2014</t>
    </r>
    <r>
      <rPr>
        <b/>
        <sz val="11"/>
        <color indexed="10"/>
        <rFont val="Arial"/>
        <family val="2"/>
      </rPr>
      <t xml:space="preserve"> 3)</t>
    </r>
  </si>
  <si>
    <t xml:space="preserve"> * Økte satser med 10 % for distrikts- og kvalitetstilskudd frukt og grønt.</t>
  </si>
  <si>
    <t xml:space="preserve"> * Økt RMP tilskudd med 20 mill.kr</t>
  </si>
  <si>
    <t xml:space="preserve"> * Økte investeringstilskudd med 20 mill. kr </t>
  </si>
  <si>
    <t>Distriktstilskudd potet Nord-Norge</t>
  </si>
  <si>
    <t xml:space="preserve"> * Økte satser med 40 øre/kg for økologisk fôrkorn</t>
  </si>
  <si>
    <t xml:space="preserve"> * økte satser med 50 kr/kube for birøkt</t>
  </si>
  <si>
    <t xml:space="preserve"> * Taket for avlingsskadeerstatning heves til 750.000 kroner</t>
  </si>
  <si>
    <t>7 øre/kg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</si>
</sst>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\ %"/>
    <numFmt numFmtId="166" formatCode="0.000000"/>
  </numFmts>
  <fonts count="42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u/>
      <sz val="11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49" fontId="4" fillId="0" borderId="0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5" fillId="2" borderId="0" xfId="0" applyNumberFormat="1" applyFont="1" applyFill="1" applyProtection="1"/>
    <xf numFmtId="3" fontId="0" fillId="0" borderId="0" xfId="0" applyNumberFormat="1" applyBorder="1"/>
    <xf numFmtId="0" fontId="0" fillId="7" borderId="0" xfId="0" applyFill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2" fillId="2" borderId="0" xfId="0" applyFont="1" applyFill="1" applyProtection="1"/>
    <xf numFmtId="0" fontId="14" fillId="3" borderId="23" xfId="0" applyFont="1" applyFill="1" applyBorder="1" applyProtection="1"/>
    <xf numFmtId="0" fontId="19" fillId="6" borderId="24" xfId="0" applyFont="1" applyFill="1" applyBorder="1" applyProtection="1"/>
    <xf numFmtId="0" fontId="21" fillId="6" borderId="25" xfId="0" applyFont="1" applyFill="1" applyBorder="1" applyAlignment="1" applyProtection="1">
      <alignment horizontal="right"/>
    </xf>
    <xf numFmtId="3" fontId="21" fillId="6" borderId="26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7" fillId="0" borderId="0" xfId="0" applyFont="1"/>
    <xf numFmtId="0" fontId="0" fillId="10" borderId="0" xfId="0" applyFill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0" fontId="2" fillId="0" borderId="0" xfId="0" applyFont="1" applyFill="1" applyBorder="1"/>
    <xf numFmtId="0" fontId="13" fillId="6" borderId="27" xfId="0" applyFont="1" applyFill="1" applyBorder="1" applyProtection="1"/>
    <xf numFmtId="3" fontId="4" fillId="2" borderId="22" xfId="0" applyNumberFormat="1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0" fillId="8" borderId="28" xfId="0" applyFont="1" applyFill="1" applyBorder="1" applyProtection="1"/>
    <xf numFmtId="3" fontId="10" fillId="8" borderId="16" xfId="0" applyNumberFormat="1" applyFont="1" applyFill="1" applyBorder="1" applyAlignment="1" applyProtection="1">
      <alignment horizontal="right"/>
    </xf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8" fillId="3" borderId="23" xfId="0" applyFont="1" applyFill="1" applyBorder="1" applyProtection="1"/>
    <xf numFmtId="0" fontId="29" fillId="3" borderId="29" xfId="0" applyFont="1" applyFill="1" applyBorder="1" applyProtection="1"/>
    <xf numFmtId="0" fontId="10" fillId="3" borderId="0" xfId="0" applyFont="1" applyFill="1" applyBorder="1" applyProtection="1"/>
    <xf numFmtId="0" fontId="10" fillId="3" borderId="18" xfId="0" applyFont="1" applyFill="1" applyBorder="1" applyProtection="1"/>
    <xf numFmtId="0" fontId="11" fillId="3" borderId="29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9" xfId="0" applyFont="1" applyFill="1" applyBorder="1" applyProtection="1"/>
    <xf numFmtId="3" fontId="12" fillId="2" borderId="0" xfId="0" applyNumberFormat="1" applyFont="1" applyFill="1" applyBorder="1" applyProtection="1">
      <protection locked="0"/>
    </xf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30" xfId="0" applyFont="1" applyFill="1" applyBorder="1" applyProtection="1"/>
    <xf numFmtId="3" fontId="31" fillId="3" borderId="4" xfId="0" applyNumberFormat="1" applyFont="1" applyFill="1" applyBorder="1" applyProtection="1"/>
    <xf numFmtId="0" fontId="28" fillId="3" borderId="31" xfId="0" applyFont="1" applyFill="1" applyBorder="1" applyProtection="1"/>
    <xf numFmtId="3" fontId="12" fillId="3" borderId="0" xfId="0" applyNumberFormat="1" applyFont="1" applyFill="1" applyBorder="1" applyProtection="1">
      <protection locked="0"/>
    </xf>
    <xf numFmtId="3" fontId="10" fillId="3" borderId="4" xfId="0" applyNumberFormat="1" applyFont="1" applyFill="1" applyBorder="1" applyProtection="1"/>
    <xf numFmtId="0" fontId="11" fillId="3" borderId="31" xfId="0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3" fontId="11" fillId="3" borderId="0" xfId="0" applyNumberFormat="1" applyFont="1" applyFill="1" applyBorder="1" applyProtection="1">
      <protection locked="0"/>
    </xf>
    <xf numFmtId="3" fontId="10" fillId="3" borderId="0" xfId="0" applyNumberFormat="1" applyFont="1" applyFill="1" applyBorder="1" applyProtection="1"/>
    <xf numFmtId="0" fontId="10" fillId="3" borderId="32" xfId="0" applyFont="1" applyFill="1" applyBorder="1" applyProtection="1"/>
    <xf numFmtId="3" fontId="12" fillId="0" borderId="15" xfId="0" applyNumberFormat="1" applyFont="1" applyFill="1" applyBorder="1" applyProtection="1">
      <protection locked="0"/>
    </xf>
    <xf numFmtId="0" fontId="11" fillId="3" borderId="22" xfId="0" applyFont="1" applyFill="1" applyBorder="1" applyProtection="1"/>
    <xf numFmtId="0" fontId="23" fillId="2" borderId="29" xfId="0" applyFont="1" applyFill="1" applyBorder="1" applyProtection="1"/>
    <xf numFmtId="0" fontId="38" fillId="11" borderId="29" xfId="0" applyFont="1" applyFill="1" applyBorder="1" applyProtection="1"/>
    <xf numFmtId="0" fontId="38" fillId="11" borderId="21" xfId="0" applyFont="1" applyFill="1" applyBorder="1" applyProtection="1"/>
    <xf numFmtId="0" fontId="2" fillId="0" borderId="0" xfId="0" applyFont="1" applyBorder="1"/>
    <xf numFmtId="0" fontId="10" fillId="12" borderId="17" xfId="0" applyFont="1" applyFill="1" applyBorder="1" applyProtection="1"/>
    <xf numFmtId="0" fontId="10" fillId="12" borderId="19" xfId="0" applyFont="1" applyFill="1" applyBorder="1" applyProtection="1"/>
    <xf numFmtId="0" fontId="10" fillId="12" borderId="33" xfId="0" applyFont="1" applyFill="1" applyBorder="1" applyProtection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49" fontId="10" fillId="13" borderId="9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7" fillId="13" borderId="0" xfId="0" applyFont="1" applyFill="1" applyBorder="1" applyAlignment="1" applyProtection="1">
      <alignment horizontal="left"/>
    </xf>
    <xf numFmtId="0" fontId="27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33" fillId="15" borderId="28" xfId="0" applyFont="1" applyFill="1" applyBorder="1" applyProtection="1"/>
    <xf numFmtId="0" fontId="8" fillId="15" borderId="5" xfId="0" applyFont="1" applyFill="1" applyBorder="1" applyProtection="1"/>
    <xf numFmtId="3" fontId="33" fillId="15" borderId="16" xfId="0" applyNumberFormat="1" applyFont="1" applyFill="1" applyBorder="1" applyAlignment="1" applyProtection="1">
      <alignment horizontal="right"/>
    </xf>
    <xf numFmtId="0" fontId="35" fillId="15" borderId="5" xfId="0" applyFont="1" applyFill="1" applyBorder="1" applyProtection="1"/>
    <xf numFmtId="3" fontId="33" fillId="15" borderId="20" xfId="0" applyNumberFormat="1" applyFont="1" applyFill="1" applyBorder="1" applyAlignment="1" applyProtection="1">
      <alignment horizontal="right"/>
    </xf>
    <xf numFmtId="3" fontId="39" fillId="15" borderId="16" xfId="0" applyNumberFormat="1" applyFont="1" applyFill="1" applyBorder="1" applyProtection="1"/>
    <xf numFmtId="0" fontId="21" fillId="14" borderId="34" xfId="0" applyFont="1" applyFill="1" applyBorder="1" applyProtection="1"/>
    <xf numFmtId="3" fontId="21" fillId="14" borderId="16" xfId="0" applyNumberFormat="1" applyFont="1" applyFill="1" applyBorder="1" applyProtection="1"/>
    <xf numFmtId="0" fontId="21" fillId="14" borderId="17" xfId="0" applyFont="1" applyFill="1" applyBorder="1" applyProtection="1"/>
    <xf numFmtId="0" fontId="22" fillId="14" borderId="4" xfId="0" applyFont="1" applyFill="1" applyBorder="1" applyProtection="1"/>
    <xf numFmtId="3" fontId="21" fillId="14" borderId="31" xfId="0" applyNumberFormat="1" applyFont="1" applyFill="1" applyBorder="1" applyAlignment="1" applyProtection="1">
      <alignment horizontal="right"/>
    </xf>
    <xf numFmtId="0" fontId="21" fillId="0" borderId="13" xfId="0" applyFont="1" applyFill="1" applyBorder="1" applyProtection="1"/>
    <xf numFmtId="0" fontId="22" fillId="2" borderId="14" xfId="0" applyFont="1" applyFill="1" applyBorder="1" applyProtection="1"/>
    <xf numFmtId="3" fontId="21" fillId="2" borderId="23" xfId="0" applyNumberFormat="1" applyFont="1" applyFill="1" applyBorder="1" applyAlignment="1" applyProtection="1">
      <alignment horizontal="right"/>
    </xf>
    <xf numFmtId="3" fontId="40" fillId="13" borderId="18" xfId="0" applyNumberFormat="1" applyFont="1" applyFill="1" applyBorder="1" applyProtection="1"/>
    <xf numFmtId="0" fontId="32" fillId="12" borderId="19" xfId="0" applyFont="1" applyFill="1" applyBorder="1" applyProtection="1"/>
    <xf numFmtId="0" fontId="32" fillId="16" borderId="21" xfId="0" applyFont="1" applyFill="1" applyBorder="1" applyProtection="1"/>
    <xf numFmtId="0" fontId="2" fillId="16" borderId="1" xfId="0" applyFont="1" applyFill="1" applyBorder="1" applyProtection="1"/>
    <xf numFmtId="3" fontId="5" fillId="16" borderId="20" xfId="0" applyNumberFormat="1" applyFont="1" applyFill="1" applyBorder="1" applyProtection="1"/>
    <xf numFmtId="0" fontId="23" fillId="2" borderId="32" xfId="0" applyFont="1" applyFill="1" applyBorder="1" applyProtection="1"/>
    <xf numFmtId="0" fontId="2" fillId="0" borderId="8" xfId="0" applyFont="1" applyFill="1" applyBorder="1"/>
    <xf numFmtId="1" fontId="2" fillId="0" borderId="0" xfId="0" applyNumberFormat="1" applyFont="1" applyFill="1" applyBorder="1"/>
    <xf numFmtId="9" fontId="12" fillId="2" borderId="0" xfId="1" applyFont="1" applyFill="1" applyBorder="1" applyProtection="1">
      <protection locked="0"/>
    </xf>
    <xf numFmtId="0" fontId="33" fillId="3" borderId="18" xfId="0" applyFont="1" applyFill="1" applyBorder="1" applyProtection="1"/>
    <xf numFmtId="3" fontId="0" fillId="0" borderId="5" xfId="0" applyNumberFormat="1" applyBorder="1"/>
    <xf numFmtId="0" fontId="41" fillId="3" borderId="29" xfId="0" applyFont="1" applyFill="1" applyBorder="1" applyProtection="1"/>
    <xf numFmtId="0" fontId="4" fillId="17" borderId="32" xfId="0" applyFont="1" applyFill="1" applyBorder="1" applyProtection="1"/>
    <xf numFmtId="0" fontId="4" fillId="17" borderId="15" xfId="0" applyFont="1" applyFill="1" applyBorder="1" applyProtection="1"/>
    <xf numFmtId="0" fontId="4" fillId="17" borderId="22" xfId="0" applyFont="1" applyFill="1" applyBorder="1" applyProtection="1"/>
    <xf numFmtId="2" fontId="10" fillId="8" borderId="5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13" fillId="6" borderId="35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5" xfId="0" applyFont="1" applyFill="1" applyBorder="1" applyAlignment="1" applyProtection="1">
      <alignment horizontal="right"/>
    </xf>
    <xf numFmtId="0" fontId="4" fillId="6" borderId="26" xfId="0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AH299"/>
  <sheetViews>
    <sheetView topLeftCell="A145" workbookViewId="0">
      <selection activeCell="F165" sqref="F165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5" t="s">
        <v>93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>
      <c r="A5" s="73"/>
      <c r="B5" s="21" t="s">
        <v>87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94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>
      <c r="A7" s="73"/>
      <c r="B7" s="21" t="s">
        <v>96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>
      <c r="A8" s="73" t="s">
        <v>48</v>
      </c>
      <c r="B8" s="5" t="s">
        <v>95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>
      <c r="A9" s="73"/>
      <c r="B9" s="3" t="s">
        <v>97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>
      <c r="A10" s="73" t="s">
        <v>62</v>
      </c>
      <c r="B10" s="21" t="s">
        <v>89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>
      <c r="A11" s="73"/>
      <c r="B11" s="21" t="s">
        <v>90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88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 t="s">
        <v>154</v>
      </c>
      <c r="B13" s="21" t="s">
        <v>89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90"/>
      <c r="B14" s="5" t="s">
        <v>91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5"/>
      <c r="B15" s="21" t="s">
        <v>92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>
      <c r="A16" s="73" t="s">
        <v>152</v>
      </c>
      <c r="B16" s="21" t="s">
        <v>89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>
      <c r="A17" s="90"/>
      <c r="B17" s="5" t="s">
        <v>91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74"/>
      <c r="B18" s="33" t="s">
        <v>92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>
      <c r="A19" s="5"/>
      <c r="B19" s="21"/>
      <c r="C19" s="15"/>
      <c r="D19" s="15"/>
      <c r="E19" s="15"/>
      <c r="F19" s="15"/>
      <c r="G19" s="15"/>
      <c r="H19" s="15"/>
      <c r="I19" s="15"/>
    </row>
    <row r="20" spans="1:10">
      <c r="A20" s="1"/>
      <c r="B20" s="2"/>
      <c r="C20" s="1"/>
      <c r="D20" s="1"/>
      <c r="E20" s="1"/>
      <c r="F20" s="1"/>
      <c r="G20" s="1"/>
      <c r="H20" s="1"/>
      <c r="I20" s="1"/>
    </row>
    <row r="21" spans="1:10">
      <c r="A21" s="66"/>
      <c r="B21" s="41" t="s">
        <v>153</v>
      </c>
      <c r="C21" s="42"/>
      <c r="D21" s="42"/>
      <c r="E21" s="68"/>
      <c r="F21" s="5"/>
      <c r="G21" s="5"/>
      <c r="H21" s="1"/>
      <c r="I21" s="1"/>
    </row>
    <row r="22" spans="1:10" ht="15">
      <c r="A22" s="73" t="s">
        <v>47</v>
      </c>
      <c r="B22" s="42" t="s">
        <v>93</v>
      </c>
      <c r="C22" s="44">
        <f>IF((Satser!I23+Satser!I24*0.6)&lt;200,(Satser!I23+Satser!I24*0.6),200)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>
      <c r="A23" s="73"/>
      <c r="B23" s="33" t="s">
        <v>87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>
      <c r="A24" s="73" t="s">
        <v>50</v>
      </c>
      <c r="B24" s="62" t="s">
        <v>94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>
      <c r="A25" s="73"/>
      <c r="B25" s="33" t="s">
        <v>96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>
      <c r="A26" s="73" t="s">
        <v>48</v>
      </c>
      <c r="B26" s="42" t="s">
        <v>95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>
      <c r="A27" s="73"/>
      <c r="B27" s="5" t="s">
        <v>97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>
      <c r="A28" s="73" t="s">
        <v>62</v>
      </c>
      <c r="B28" s="62" t="s">
        <v>89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>
      <c r="A29" s="73"/>
      <c r="B29" s="21" t="s">
        <v>90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>
      <c r="A30" s="73"/>
      <c r="B30" s="21" t="s">
        <v>88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>
      <c r="A31" s="73" t="s">
        <v>154</v>
      </c>
      <c r="B31" s="62" t="s">
        <v>89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>
      <c r="A32" s="90"/>
      <c r="B32" s="5" t="s">
        <v>91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>
      <c r="A33" s="90"/>
      <c r="B33" s="33" t="s">
        <v>92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>
      <c r="A34" s="73" t="s">
        <v>152</v>
      </c>
      <c r="B34" s="62" t="s">
        <v>89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>
      <c r="A35" s="90"/>
      <c r="B35" s="5" t="s">
        <v>91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>
      <c r="A36" s="90"/>
      <c r="B36" s="33" t="s">
        <v>92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>
      <c r="A37" s="83"/>
      <c r="B37" s="96" t="s">
        <v>131</v>
      </c>
      <c r="C37" s="3"/>
      <c r="D37" s="3"/>
      <c r="E37" s="86" t="e">
        <f>SUM(E22:E36)</f>
        <v>#REF!</v>
      </c>
      <c r="F37" s="6"/>
      <c r="G37" s="5"/>
      <c r="H37" s="5"/>
    </row>
    <row r="38" spans="1:8">
      <c r="B38" s="5"/>
      <c r="C38" s="5"/>
      <c r="D38" s="5"/>
      <c r="E38" s="5"/>
      <c r="F38" s="3"/>
      <c r="G38" s="5"/>
      <c r="H38" s="21"/>
    </row>
    <row r="39" spans="1:8">
      <c r="A39" s="1"/>
      <c r="B39" s="66"/>
      <c r="C39" s="42"/>
      <c r="D39" s="42"/>
      <c r="E39" s="67"/>
      <c r="F39" s="70"/>
      <c r="G39" s="1"/>
      <c r="H39" s="17"/>
    </row>
    <row r="40" spans="1:8">
      <c r="A40" s="1"/>
      <c r="B40" s="69" t="s">
        <v>19</v>
      </c>
      <c r="C40" s="5"/>
      <c r="D40" s="5"/>
      <c r="E40" s="5"/>
      <c r="F40" s="70"/>
      <c r="G40" s="1"/>
    </row>
    <row r="41" spans="1:8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>
      <c r="A42" s="1"/>
      <c r="B42" s="69" t="s">
        <v>4</v>
      </c>
      <c r="C42" s="5"/>
      <c r="D42" s="5"/>
      <c r="E42" s="5"/>
      <c r="F42" s="70"/>
      <c r="G42" s="1"/>
    </row>
    <row r="43" spans="1:8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>
      <c r="A46" s="1"/>
      <c r="B46" s="76" t="s">
        <v>132</v>
      </c>
      <c r="C46" s="37"/>
      <c r="D46" s="34"/>
      <c r="E46" s="37"/>
      <c r="F46" s="77" t="e">
        <f>SUM(E43:E45)</f>
        <v>#REF!</v>
      </c>
      <c r="G46" s="1"/>
    </row>
    <row r="47" spans="1:8">
      <c r="A47" s="1"/>
      <c r="B47" s="78" t="s">
        <v>6</v>
      </c>
      <c r="C47" s="42"/>
      <c r="D47" s="43"/>
      <c r="E47" s="42"/>
      <c r="F47" s="68"/>
      <c r="G47" s="1"/>
    </row>
    <row r="48" spans="1:8">
      <c r="A48" s="1"/>
      <c r="B48" s="73" t="s">
        <v>98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>
      <c r="A49" s="1"/>
      <c r="B49" s="74" t="s">
        <v>99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>
      <c r="A50" s="1"/>
      <c r="B50" s="74" t="s">
        <v>132</v>
      </c>
      <c r="C50" s="3"/>
      <c r="D50" s="14"/>
      <c r="E50" s="3"/>
      <c r="F50" s="72" t="e">
        <f>SUM(E48:E49)</f>
        <v>#REF!</v>
      </c>
      <c r="G50" s="1"/>
    </row>
    <row r="51" spans="1:7">
      <c r="A51" s="1"/>
      <c r="B51" s="78" t="s">
        <v>7</v>
      </c>
      <c r="C51" s="42"/>
      <c r="D51" s="43"/>
      <c r="E51" s="42"/>
      <c r="F51" s="68"/>
      <c r="G51" s="1"/>
    </row>
    <row r="52" spans="1:7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>
      <c r="A54" s="1"/>
      <c r="B54" s="76" t="s">
        <v>132</v>
      </c>
      <c r="C54" s="5"/>
      <c r="D54" s="15"/>
      <c r="E54" s="5"/>
      <c r="F54" s="72" t="e">
        <f>SUM(E52:E53)</f>
        <v>#REF!</v>
      </c>
      <c r="G54" s="1"/>
    </row>
    <row r="55" spans="1:7">
      <c r="A55" s="1"/>
      <c r="B55" s="78" t="s">
        <v>102</v>
      </c>
      <c r="C55" s="44"/>
      <c r="D55" s="45"/>
      <c r="E55" s="44"/>
      <c r="F55" s="80"/>
      <c r="G55" s="1"/>
    </row>
    <row r="56" spans="1:7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>
      <c r="A57" s="1"/>
      <c r="B57" s="73" t="s">
        <v>155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>
      <c r="A58" s="1"/>
      <c r="B58" s="76" t="s">
        <v>156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>
      <c r="A59" s="1"/>
      <c r="B59" s="74" t="s">
        <v>103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>
      <c r="A61" s="1"/>
      <c r="B61" s="69" t="s">
        <v>135</v>
      </c>
      <c r="C61" s="5"/>
      <c r="D61" s="15"/>
      <c r="E61" s="5"/>
      <c r="F61" s="79"/>
      <c r="G61" s="1"/>
    </row>
    <row r="62" spans="1:7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>
      <c r="A63" s="1"/>
      <c r="B63" s="84" t="s">
        <v>132</v>
      </c>
      <c r="C63" s="38"/>
      <c r="D63" s="36"/>
      <c r="E63" s="38"/>
      <c r="F63" s="75" t="e">
        <f>E62</f>
        <v>#REF!</v>
      </c>
      <c r="G63" s="1"/>
    </row>
    <row r="64" spans="1:7">
      <c r="A64" s="5"/>
      <c r="B64" s="69"/>
      <c r="C64" s="37"/>
      <c r="D64" s="34"/>
      <c r="E64" s="37"/>
      <c r="F64" s="85"/>
      <c r="G64" s="1"/>
    </row>
    <row r="65" spans="1:7">
      <c r="A65" s="5"/>
      <c r="B65" s="71" t="s">
        <v>150</v>
      </c>
      <c r="C65" s="38"/>
      <c r="D65" s="36"/>
      <c r="E65" s="38"/>
      <c r="F65" s="86" t="e">
        <f>SUM(F42:F63)</f>
        <v>#REF!</v>
      </c>
      <c r="G65" s="1"/>
    </row>
    <row r="66" spans="1:7">
      <c r="A66" s="5"/>
      <c r="B66" s="37"/>
      <c r="C66" s="5"/>
      <c r="D66" s="34"/>
      <c r="E66" s="37"/>
      <c r="F66" s="37"/>
      <c r="G66" s="1"/>
    </row>
    <row r="67" spans="1:7">
      <c r="A67" s="5"/>
      <c r="B67" s="21"/>
      <c r="C67" s="5"/>
      <c r="D67" s="15"/>
      <c r="E67" s="21"/>
      <c r="F67" s="6"/>
      <c r="G67" s="1"/>
    </row>
    <row r="68" spans="1:7">
      <c r="A68" s="1"/>
      <c r="B68" s="78" t="s">
        <v>9</v>
      </c>
      <c r="C68" s="42"/>
      <c r="D68" s="43"/>
      <c r="E68" s="42"/>
      <c r="F68" s="68"/>
      <c r="G68" s="1"/>
    </row>
    <row r="69" spans="1:7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>
      <c r="A73" s="1"/>
      <c r="B73" s="78" t="s">
        <v>10</v>
      </c>
      <c r="C73" s="42"/>
      <c r="D73" s="43"/>
      <c r="E73" s="42"/>
      <c r="F73" s="68"/>
      <c r="G73" s="1"/>
    </row>
    <row r="74" spans="1:7">
      <c r="A74" s="1"/>
      <c r="B74" s="91" t="s">
        <v>100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>
      <c r="A75" s="1"/>
      <c r="B75" s="91" t="s">
        <v>101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>
      <c r="A76" s="1"/>
      <c r="B76" s="73" t="s">
        <v>104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>
      <c r="A77" s="1"/>
      <c r="B77" s="74" t="s">
        <v>105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>
      <c r="A79" s="1"/>
      <c r="B79" s="76" t="s">
        <v>133</v>
      </c>
      <c r="C79" s="5">
        <v>0</v>
      </c>
      <c r="D79" s="15"/>
      <c r="E79" s="5"/>
      <c r="F79" s="79">
        <f>C79</f>
        <v>0</v>
      </c>
      <c r="G79" s="1"/>
    </row>
    <row r="80" spans="1:7">
      <c r="A80" s="1"/>
      <c r="B80" s="74"/>
      <c r="C80" s="3"/>
      <c r="D80" s="14"/>
      <c r="E80" s="3"/>
      <c r="F80" s="72"/>
      <c r="G80" s="1"/>
    </row>
    <row r="81" spans="1:7">
      <c r="A81" s="1"/>
      <c r="B81" s="41"/>
      <c r="C81" s="42"/>
      <c r="D81" s="43"/>
      <c r="E81" s="42"/>
      <c r="F81" s="42"/>
      <c r="G81" s="1"/>
    </row>
    <row r="82" spans="1:7">
      <c r="A82" s="1"/>
      <c r="B82" s="78"/>
      <c r="C82" s="42"/>
      <c r="D82" s="46"/>
      <c r="E82" s="42"/>
      <c r="F82" s="101"/>
      <c r="G82" s="1"/>
    </row>
    <row r="83" spans="1:7">
      <c r="A83" s="1"/>
      <c r="B83" s="69" t="s">
        <v>134</v>
      </c>
      <c r="C83" s="5"/>
      <c r="D83" s="26"/>
      <c r="E83" s="5"/>
      <c r="F83" s="79" t="e">
        <f>F46+F50+F54+F60+F63+F72+F78+F79</f>
        <v>#REF!</v>
      </c>
      <c r="G83" s="1"/>
    </row>
    <row r="84" spans="1:7">
      <c r="A84" s="1"/>
      <c r="B84" s="84"/>
      <c r="C84" s="9"/>
      <c r="D84" s="47"/>
      <c r="E84" s="9"/>
      <c r="F84" s="75"/>
      <c r="G84" s="1"/>
    </row>
    <row r="85" spans="1:7">
      <c r="A85" s="1"/>
      <c r="G85" s="1"/>
    </row>
    <row r="87" spans="1:7">
      <c r="B87" s="78" t="s">
        <v>26</v>
      </c>
      <c r="C87" s="50"/>
      <c r="D87" s="50"/>
      <c r="E87" s="50"/>
      <c r="F87" s="50"/>
      <c r="G87" s="87"/>
    </row>
    <row r="88" spans="1:7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>
      <c r="B92" s="76"/>
      <c r="C92" s="51"/>
      <c r="D92" s="52"/>
      <c r="E92" s="17"/>
      <c r="F92" s="17"/>
      <c r="G92" s="88"/>
    </row>
    <row r="93" spans="1:7">
      <c r="B93" s="78" t="s">
        <v>6</v>
      </c>
      <c r="C93" s="48"/>
      <c r="D93" s="49"/>
      <c r="E93" s="50"/>
      <c r="F93" s="50"/>
      <c r="G93" s="87"/>
    </row>
    <row r="94" spans="1:7">
      <c r="B94" s="73" t="s">
        <v>98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>
      <c r="B95" s="74" t="s">
        <v>110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>
      <c r="B96" s="73"/>
      <c r="C96" s="51"/>
      <c r="D96" s="52"/>
      <c r="E96" s="17"/>
      <c r="F96" s="17"/>
      <c r="G96" s="88"/>
    </row>
    <row r="97" spans="2:7">
      <c r="B97" s="78" t="s">
        <v>7</v>
      </c>
      <c r="C97" s="48"/>
      <c r="D97" s="49"/>
      <c r="E97" s="50"/>
      <c r="F97" s="50"/>
      <c r="G97" s="87"/>
    </row>
    <row r="98" spans="2:7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>
      <c r="B100" s="73"/>
      <c r="C100" s="51"/>
      <c r="D100" s="52"/>
      <c r="E100" s="17"/>
      <c r="F100" s="17"/>
      <c r="G100" s="88"/>
    </row>
    <row r="101" spans="2:7">
      <c r="B101" s="78" t="s">
        <v>123</v>
      </c>
      <c r="C101" s="48"/>
      <c r="D101" s="49"/>
      <c r="E101" s="50"/>
      <c r="F101" s="50"/>
      <c r="G101" s="87"/>
    </row>
    <row r="102" spans="2:7">
      <c r="B102" s="73" t="s">
        <v>124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>
      <c r="B103" s="73" t="s">
        <v>159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>
      <c r="B104" s="73" t="s">
        <v>158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>
      <c r="B105" s="73" t="s">
        <v>125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>
      <c r="B106" s="74" t="s">
        <v>126</v>
      </c>
      <c r="C106" s="14">
        <v>0</v>
      </c>
      <c r="D106" s="30"/>
      <c r="E106" s="9"/>
      <c r="F106" s="9"/>
      <c r="G106" s="75"/>
    </row>
    <row r="107" spans="2:7">
      <c r="B107" s="73"/>
      <c r="C107" s="15"/>
      <c r="D107" s="52"/>
      <c r="E107" s="17"/>
      <c r="F107" s="17"/>
      <c r="G107" s="88"/>
    </row>
    <row r="108" spans="2:7">
      <c r="B108" s="78" t="s">
        <v>102</v>
      </c>
      <c r="C108" s="43"/>
      <c r="D108" s="49"/>
      <c r="E108" s="50"/>
      <c r="F108" s="50"/>
      <c r="G108" s="87"/>
    </row>
    <row r="109" spans="2:7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>
      <c r="B110" s="73" t="s">
        <v>155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>
      <c r="B111" s="76" t="s">
        <v>156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>
      <c r="B112" s="74" t="s">
        <v>103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>
      <c r="B113" s="73"/>
      <c r="C113" s="15"/>
      <c r="D113" s="52"/>
      <c r="E113" s="17"/>
      <c r="F113" s="17"/>
      <c r="G113" s="88"/>
    </row>
    <row r="114" spans="2:7">
      <c r="B114" s="78" t="s">
        <v>9</v>
      </c>
      <c r="C114" s="43"/>
      <c r="D114" s="49"/>
      <c r="E114" s="50"/>
      <c r="F114" s="50"/>
      <c r="G114" s="87"/>
    </row>
    <row r="115" spans="2:7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>
      <c r="B118" s="76"/>
      <c r="C118" s="15"/>
      <c r="D118" s="54"/>
      <c r="E118" s="17"/>
      <c r="F118" s="17"/>
      <c r="G118" s="88"/>
    </row>
    <row r="119" spans="2:7">
      <c r="B119" s="78" t="s">
        <v>10</v>
      </c>
      <c r="C119" s="43"/>
      <c r="D119" s="49"/>
      <c r="E119" s="50"/>
      <c r="F119" s="50"/>
      <c r="G119" s="87"/>
    </row>
    <row r="120" spans="2:7">
      <c r="B120" s="91" t="s">
        <v>100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>
      <c r="B121" s="91" t="s">
        <v>101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>
      <c r="B122" s="73" t="s">
        <v>104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>
      <c r="B123" s="74" t="s">
        <v>105</v>
      </c>
      <c r="C123" s="14">
        <v>0</v>
      </c>
      <c r="D123" s="30"/>
      <c r="E123" s="9"/>
      <c r="F123" s="9"/>
      <c r="G123" s="75"/>
    </row>
    <row r="124" spans="2:7">
      <c r="B124" s="73"/>
      <c r="C124" s="15"/>
      <c r="D124" s="52"/>
      <c r="E124" s="17"/>
      <c r="F124" s="17"/>
      <c r="G124" s="88"/>
    </row>
    <row r="125" spans="2:7">
      <c r="B125" s="78" t="s">
        <v>11</v>
      </c>
      <c r="C125" s="43"/>
      <c r="D125" s="49"/>
      <c r="E125" s="50"/>
      <c r="F125" s="50"/>
      <c r="G125" s="87"/>
    </row>
    <row r="126" spans="2:7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>
      <c r="B127" s="73" t="s">
        <v>111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>
      <c r="B128" s="102" t="s">
        <v>112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>
      <c r="B129" s="91"/>
      <c r="C129" s="15"/>
      <c r="D129" s="52"/>
      <c r="E129" s="17"/>
      <c r="F129" s="17"/>
      <c r="G129" s="88"/>
    </row>
    <row r="130" spans="2:10">
      <c r="B130" s="78" t="s">
        <v>12</v>
      </c>
      <c r="C130" s="43"/>
      <c r="D130" s="49"/>
      <c r="E130" s="50"/>
      <c r="F130" s="50"/>
      <c r="G130" s="87"/>
    </row>
    <row r="131" spans="2:10">
      <c r="B131" s="73" t="s">
        <v>106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>
      <c r="B132" s="73" t="s">
        <v>107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>
      <c r="B133" s="76" t="s">
        <v>108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>
      <c r="B134" s="76" t="s">
        <v>109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>
      <c r="B135" s="84" t="s">
        <v>113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>
      <c r="B136" s="69"/>
      <c r="C136" s="15"/>
      <c r="D136" s="52"/>
      <c r="E136" s="17"/>
      <c r="F136" s="17"/>
      <c r="G136" s="88"/>
    </row>
    <row r="137" spans="2:10">
      <c r="B137" s="73"/>
      <c r="C137" s="15"/>
      <c r="D137" s="52"/>
      <c r="E137" s="17"/>
      <c r="F137" s="17"/>
      <c r="G137" s="88"/>
    </row>
    <row r="138" spans="2:10">
      <c r="B138" s="103" t="s">
        <v>114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>
      <c r="B141" s="5"/>
      <c r="H141" s="5" t="s">
        <v>58</v>
      </c>
    </row>
    <row r="142" spans="2:10">
      <c r="B142" s="3"/>
      <c r="F142" s="11"/>
      <c r="G142" s="11"/>
      <c r="H142" s="3"/>
    </row>
    <row r="143" spans="2:10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>
      <c r="C147" s="2" t="e">
        <f>SUM(C143:C146)</f>
        <v>#REF!</v>
      </c>
      <c r="I147" s="20" t="e">
        <f>SUM(I143:I146)</f>
        <v>#REF!</v>
      </c>
    </row>
    <row r="148" spans="2:10">
      <c r="B148" s="16"/>
      <c r="C148" s="17"/>
      <c r="D148" s="17"/>
      <c r="E148" s="17"/>
      <c r="F148" s="17"/>
      <c r="G148" s="17"/>
      <c r="H148" s="17"/>
      <c r="I148" s="17"/>
    </row>
    <row r="149" spans="2:10" ht="14.25">
      <c r="B149" s="29" t="s">
        <v>134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>
      <c r="B151" s="78" t="s">
        <v>43</v>
      </c>
      <c r="C151" s="50"/>
      <c r="D151" s="50"/>
      <c r="E151" s="50"/>
      <c r="F151" s="41" t="s">
        <v>138</v>
      </c>
      <c r="G151" s="87"/>
    </row>
    <row r="152" spans="2:10">
      <c r="B152" s="69" t="s">
        <v>4</v>
      </c>
      <c r="C152" s="59" t="s">
        <v>27</v>
      </c>
      <c r="D152" s="6" t="s">
        <v>145</v>
      </c>
      <c r="E152" s="6" t="s">
        <v>29</v>
      </c>
      <c r="F152" s="6" t="s">
        <v>30</v>
      </c>
      <c r="G152" s="79" t="s">
        <v>31</v>
      </c>
    </row>
    <row r="153" spans="2:10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>
      <c r="B155" s="73"/>
      <c r="C155" s="51"/>
      <c r="D155" s="51"/>
      <c r="E155" s="17"/>
      <c r="F155" s="52"/>
      <c r="G155" s="108"/>
    </row>
    <row r="156" spans="2:10">
      <c r="B156" s="69" t="s">
        <v>6</v>
      </c>
      <c r="C156" s="51"/>
      <c r="D156" s="51"/>
      <c r="E156" s="17"/>
      <c r="F156" s="52"/>
      <c r="G156" s="108"/>
    </row>
    <row r="157" spans="2:10">
      <c r="B157" s="73" t="s">
        <v>115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>
      <c r="B158" s="73"/>
      <c r="C158" s="51"/>
      <c r="D158" s="51"/>
      <c r="E158" s="17"/>
      <c r="F158" s="52"/>
      <c r="G158" s="108"/>
    </row>
    <row r="159" spans="2:10">
      <c r="B159" s="69" t="s">
        <v>147</v>
      </c>
      <c r="C159" s="51"/>
      <c r="D159" s="51"/>
      <c r="E159" s="17"/>
      <c r="F159" s="52"/>
      <c r="G159" s="108"/>
    </row>
    <row r="160" spans="2:10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>
      <c r="B162" s="73"/>
      <c r="C162" s="51"/>
      <c r="D162" s="51"/>
      <c r="E162" s="17"/>
      <c r="F162" s="52"/>
      <c r="G162" s="108"/>
    </row>
    <row r="163" spans="2:7">
      <c r="B163" s="69" t="s">
        <v>8</v>
      </c>
      <c r="C163" s="51"/>
      <c r="D163" s="51"/>
      <c r="E163" s="17"/>
      <c r="F163" s="52"/>
      <c r="G163" s="108"/>
    </row>
    <row r="164" spans="2:7">
      <c r="B164" s="76" t="s">
        <v>115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>
      <c r="B165" s="73"/>
      <c r="C165" s="51"/>
      <c r="D165" s="51"/>
      <c r="E165" s="17"/>
      <c r="F165" s="52"/>
      <c r="G165" s="108"/>
    </row>
    <row r="166" spans="2:7">
      <c r="B166" s="69" t="s">
        <v>16</v>
      </c>
      <c r="C166" s="51"/>
      <c r="D166" s="51"/>
      <c r="E166" s="17"/>
      <c r="F166" s="52"/>
      <c r="G166" s="108"/>
    </row>
    <row r="167" spans="2:7">
      <c r="B167" s="91" t="s">
        <v>115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>
      <c r="B168" s="73"/>
      <c r="C168" s="51"/>
      <c r="D168" s="51"/>
      <c r="E168" s="17"/>
      <c r="F168" s="52"/>
      <c r="G168" s="108"/>
    </row>
    <row r="169" spans="2:7">
      <c r="B169" s="69" t="s">
        <v>10</v>
      </c>
      <c r="C169" s="51"/>
      <c r="D169" s="51"/>
      <c r="E169" s="17"/>
      <c r="F169" s="52"/>
      <c r="G169" s="108"/>
    </row>
    <row r="170" spans="2:7">
      <c r="B170" s="91" t="s">
        <v>115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>
      <c r="B171" s="73"/>
      <c r="C171" s="51"/>
      <c r="D171" s="51"/>
      <c r="E171" s="17"/>
      <c r="F171" s="52"/>
      <c r="G171" s="108"/>
    </row>
    <row r="172" spans="2:7">
      <c r="B172" s="69" t="s">
        <v>11</v>
      </c>
      <c r="C172" s="51"/>
      <c r="D172" s="51"/>
      <c r="E172" s="17"/>
      <c r="F172" s="52"/>
      <c r="G172" s="108"/>
    </row>
    <row r="173" spans="2:7">
      <c r="B173" s="91" t="s">
        <v>115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>
      <c r="B174" s="73"/>
      <c r="C174" s="60"/>
      <c r="D174" s="51"/>
      <c r="E174" s="17"/>
      <c r="F174" s="52"/>
      <c r="G174" s="108"/>
    </row>
    <row r="175" spans="2:7">
      <c r="B175" s="69" t="s">
        <v>12</v>
      </c>
      <c r="C175" s="51"/>
      <c r="D175" s="51"/>
      <c r="E175" s="17"/>
      <c r="F175" s="52"/>
      <c r="G175" s="108"/>
    </row>
    <row r="176" spans="2:7">
      <c r="B176" s="73" t="s">
        <v>115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>
      <c r="B177" s="73"/>
      <c r="C177" s="51"/>
      <c r="D177" s="51"/>
      <c r="E177" s="17"/>
      <c r="F177" s="52"/>
      <c r="G177" s="108"/>
    </row>
    <row r="178" spans="2:7">
      <c r="B178" s="69" t="s">
        <v>116</v>
      </c>
      <c r="C178" s="51"/>
      <c r="D178" s="51"/>
      <c r="E178" s="17"/>
      <c r="F178" s="52"/>
      <c r="G178" s="108"/>
    </row>
    <row r="179" spans="2:7">
      <c r="B179" s="73" t="s">
        <v>115</v>
      </c>
      <c r="C179" s="51">
        <v>824</v>
      </c>
      <c r="D179" s="48">
        <f>C179*1.06</f>
        <v>873.44</v>
      </c>
      <c r="E179" s="17"/>
      <c r="F179" s="52"/>
      <c r="G179" s="108"/>
    </row>
    <row r="180" spans="2:7">
      <c r="B180" s="73"/>
      <c r="C180" s="60"/>
      <c r="D180" s="51"/>
      <c r="E180" s="17"/>
      <c r="F180" s="52"/>
      <c r="G180" s="108"/>
    </row>
    <row r="181" spans="2:7">
      <c r="B181" s="69" t="s">
        <v>117</v>
      </c>
      <c r="C181" s="60"/>
      <c r="D181" s="51"/>
      <c r="E181" s="17"/>
      <c r="F181" s="52"/>
      <c r="G181" s="108"/>
    </row>
    <row r="182" spans="2:7">
      <c r="B182" s="73" t="s">
        <v>115</v>
      </c>
      <c r="C182" s="51">
        <v>206</v>
      </c>
      <c r="D182" s="48">
        <f>C182*1.06</f>
        <v>218.36</v>
      </c>
      <c r="E182" s="17"/>
      <c r="F182" s="52"/>
      <c r="G182" s="108"/>
    </row>
    <row r="183" spans="2:7">
      <c r="B183" s="73"/>
      <c r="C183" s="60"/>
      <c r="D183" s="51"/>
      <c r="E183" s="17"/>
      <c r="F183" s="52"/>
      <c r="G183" s="108"/>
    </row>
    <row r="184" spans="2:7">
      <c r="B184" s="69" t="s">
        <v>118</v>
      </c>
      <c r="C184" s="60"/>
      <c r="D184" s="51"/>
      <c r="E184" s="17"/>
      <c r="F184" s="52"/>
      <c r="G184" s="108"/>
    </row>
    <row r="185" spans="2:7">
      <c r="B185" s="73" t="s">
        <v>115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>
      <c r="B186" s="73"/>
      <c r="C186" s="60"/>
      <c r="D186" s="51"/>
      <c r="E186" s="17"/>
      <c r="F186" s="52"/>
      <c r="G186" s="108"/>
    </row>
    <row r="187" spans="2:7">
      <c r="B187" s="69" t="s">
        <v>119</v>
      </c>
      <c r="C187" s="60"/>
      <c r="D187" s="51"/>
      <c r="E187" s="17"/>
      <c r="F187" s="52"/>
      <c r="G187" s="108"/>
    </row>
    <row r="188" spans="2:7">
      <c r="B188" s="73" t="s">
        <v>115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>
      <c r="B189" s="73"/>
      <c r="C189" s="60"/>
      <c r="D189" s="51"/>
      <c r="E189" s="17"/>
      <c r="F189" s="52"/>
      <c r="G189" s="108"/>
    </row>
    <row r="190" spans="2:7">
      <c r="B190" s="69" t="s">
        <v>120</v>
      </c>
      <c r="C190" s="60"/>
      <c r="D190" s="51"/>
      <c r="E190" s="17"/>
      <c r="F190" s="52"/>
      <c r="G190" s="108"/>
    </row>
    <row r="191" spans="2:7">
      <c r="B191" s="73" t="s">
        <v>115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>
      <c r="B192" s="73"/>
      <c r="C192" s="60"/>
      <c r="D192" s="51"/>
      <c r="E192" s="17"/>
      <c r="F192" s="52"/>
      <c r="G192" s="108"/>
    </row>
    <row r="193" spans="2:9">
      <c r="B193" s="69" t="s">
        <v>121</v>
      </c>
      <c r="C193" s="60"/>
      <c r="D193" s="51"/>
      <c r="E193" s="17"/>
      <c r="F193" s="52"/>
      <c r="G193" s="108"/>
    </row>
    <row r="194" spans="2:9">
      <c r="B194" s="73" t="s">
        <v>115</v>
      </c>
      <c r="C194" s="51">
        <v>229</v>
      </c>
      <c r="D194" s="117">
        <f>C194*1.06</f>
        <v>242.74</v>
      </c>
      <c r="E194" s="17"/>
      <c r="F194" s="52"/>
      <c r="G194" s="108"/>
    </row>
    <row r="195" spans="2:9">
      <c r="B195" s="73"/>
      <c r="C195" s="51"/>
      <c r="D195" s="51"/>
      <c r="E195" s="17"/>
      <c r="F195" s="52"/>
      <c r="G195" s="108"/>
    </row>
    <row r="196" spans="2:9">
      <c r="B196" s="69" t="s">
        <v>122</v>
      </c>
      <c r="C196" s="51"/>
      <c r="D196" s="51"/>
      <c r="E196" s="17"/>
      <c r="F196" s="52"/>
      <c r="G196" s="108"/>
    </row>
    <row r="197" spans="2:9">
      <c r="B197" s="74" t="s">
        <v>115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>
      <c r="B198" s="90"/>
      <c r="C198" s="110"/>
      <c r="D198" s="15"/>
      <c r="E198" s="17"/>
      <c r="F198" s="17"/>
      <c r="G198" s="88"/>
    </row>
    <row r="199" spans="2:9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>
      <c r="B201" s="5"/>
    </row>
    <row r="202" spans="2:9">
      <c r="B202" s="3"/>
      <c r="F202" s="11"/>
    </row>
    <row r="203" spans="2:9">
      <c r="B203">
        <v>1</v>
      </c>
      <c r="C203" s="13" t="e">
        <f>IF(AND(F199&lt;$C$200,G199&lt;$D$200),0,0)</f>
        <v>#REF!</v>
      </c>
    </row>
    <row r="204" spans="2:9">
      <c r="B204">
        <v>2</v>
      </c>
      <c r="C204" t="e">
        <f>IF(AND(F199&lt;C200,G199&gt;D200),(D200-F199),0)</f>
        <v>#REF!</v>
      </c>
      <c r="D204" t="s">
        <v>35</v>
      </c>
    </row>
    <row r="205" spans="2:9">
      <c r="B205">
        <v>3</v>
      </c>
      <c r="C205" t="e">
        <f>IF(AND(F199&gt;C200,G199&gt;D200),(D200-C200),0)</f>
        <v>#REF!</v>
      </c>
      <c r="D205" t="s">
        <v>36</v>
      </c>
    </row>
    <row r="206" spans="2:9">
      <c r="B206" s="9">
        <v>4</v>
      </c>
      <c r="C206" s="9" t="e">
        <f>IF(AND(F199&gt;C200,G199&lt;D200),(G199-$C$200),0)</f>
        <v>#REF!</v>
      </c>
      <c r="D206" t="s">
        <v>37</v>
      </c>
    </row>
    <row r="207" spans="2:9">
      <c r="C207" s="2" t="e">
        <f>SUM(C203:C206)</f>
        <v>#REF!</v>
      </c>
    </row>
    <row r="208" spans="2:9">
      <c r="C208" s="2"/>
    </row>
    <row r="209" spans="2:4">
      <c r="C209" s="2"/>
    </row>
    <row r="210" spans="2:4" ht="15">
      <c r="B210" s="63" t="s">
        <v>140</v>
      </c>
      <c r="C210" s="2"/>
      <c r="D210" s="20" t="e">
        <f>E282</f>
        <v>#REF!</v>
      </c>
    </row>
    <row r="211" spans="2:4">
      <c r="C211" s="2"/>
    </row>
    <row r="212" spans="2:4">
      <c r="C212" s="2"/>
    </row>
    <row r="213" spans="2:4">
      <c r="C213" s="2"/>
    </row>
    <row r="214" spans="2:4">
      <c r="B214" s="2" t="s">
        <v>76</v>
      </c>
    </row>
    <row r="216" spans="2:4">
      <c r="B216" t="s">
        <v>77</v>
      </c>
      <c r="C216" s="1" t="e">
        <f>IF(AND(#REF!=2,#REF!&lt;6),-12500,IF(AND(#REF!&gt;2,#REF!&lt;6),-19000,IF(AND(#REF!&lt;2,#REF!&lt;6),IF(#REF!&gt;5,4000,#REF!*800),0)))</f>
        <v>#REF!</v>
      </c>
    </row>
    <row r="217" spans="2:4">
      <c r="B217" t="s">
        <v>78</v>
      </c>
      <c r="C217" s="1" t="e">
        <f>IF(AND(#REF!=2,#REF!&gt;5),-12800,IF(AND(#REF!&gt;2,#REF!&gt;5),-18100,IF(AND(#REF!&lt;2,#REF!&gt;5),IF(#REF!&gt;5,4000,#REF!*800),0)))</f>
        <v>#REF!</v>
      </c>
    </row>
    <row r="218" spans="2:4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>
      <c r="C219" s="2" t="e">
        <f>IF(C218&gt;0,C218,IF(C218&lt;0,C218,IF(C217&gt;0,C217,IF(C217&lt;0,C217,C216))))</f>
        <v>#REF!</v>
      </c>
    </row>
    <row r="220" spans="2:4">
      <c r="B220" t="s">
        <v>79</v>
      </c>
      <c r="C220" t="e">
        <f>IF(#REF!&gt;49,5000,IF(#REF!&gt;5,#REF!*100,0))</f>
        <v>#REF!</v>
      </c>
    </row>
    <row r="221" spans="2:4">
      <c r="C221" s="2" t="e">
        <f>IF(C219&gt;0,C219,IF(C219&lt;0,C219,C220))</f>
        <v>#REF!</v>
      </c>
    </row>
    <row r="222" spans="2:4">
      <c r="B222" t="s">
        <v>80</v>
      </c>
      <c r="C222" s="64" t="e">
        <f>IF(#REF!&gt;50,0,IF(#REF!&lt;10,0,(#REF!*0)))</f>
        <v>#REF!</v>
      </c>
    </row>
    <row r="223" spans="2:4">
      <c r="C223" s="31" t="e">
        <f>IF(C221&gt;0,C221,IF(C221&lt;0,C221,C222))</f>
        <v>#REF!</v>
      </c>
      <c r="D223" t="s">
        <v>81</v>
      </c>
    </row>
    <row r="225" spans="1:34">
      <c r="F225" s="2"/>
    </row>
    <row r="230" spans="1:34" ht="16.5" customHeight="1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>
      <c r="A242" s="78" t="s">
        <v>46</v>
      </c>
      <c r="B242" s="42"/>
      <c r="C242" s="50"/>
      <c r="D242" s="50"/>
      <c r="E242" s="87"/>
    </row>
    <row r="243" spans="1:5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>
      <c r="A244" s="71" t="s">
        <v>4</v>
      </c>
      <c r="B244" s="5"/>
      <c r="C244" s="17"/>
      <c r="D244" s="17"/>
      <c r="E244" s="88"/>
    </row>
    <row r="245" spans="1:5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>
      <c r="A247" s="90"/>
      <c r="B247" s="5"/>
      <c r="C247" s="52"/>
      <c r="D247" s="54"/>
      <c r="E247" s="88"/>
    </row>
    <row r="248" spans="1:5">
      <c r="A248" s="90"/>
      <c r="B248" s="5"/>
      <c r="C248" s="52"/>
      <c r="D248" s="54"/>
      <c r="E248" s="88"/>
    </row>
    <row r="249" spans="1:5">
      <c r="A249" s="69" t="s">
        <v>6</v>
      </c>
      <c r="B249" s="5"/>
      <c r="C249" s="17"/>
      <c r="D249" s="54"/>
      <c r="E249" s="88"/>
    </row>
    <row r="250" spans="1:5">
      <c r="A250" s="73" t="s">
        <v>115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>
      <c r="A251" s="73"/>
      <c r="B251" s="5"/>
      <c r="C251" s="52"/>
      <c r="D251" s="54"/>
      <c r="E251" s="89" t="e">
        <f>SUM(D250:D252)</f>
        <v>#REF!</v>
      </c>
    </row>
    <row r="252" spans="1:5">
      <c r="A252" s="74"/>
      <c r="B252" s="5"/>
      <c r="C252" s="52"/>
      <c r="D252" s="54"/>
      <c r="E252" s="88"/>
    </row>
    <row r="253" spans="1:5">
      <c r="A253" s="69" t="s">
        <v>148</v>
      </c>
      <c r="B253" s="5"/>
      <c r="C253" s="52"/>
      <c r="D253" s="54"/>
      <c r="E253" s="88"/>
    </row>
    <row r="254" spans="1:5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>
      <c r="A255" s="74" t="s">
        <v>45</v>
      </c>
      <c r="B255" s="5" t="e">
        <f>IF(#REF!&lt;41,0,#REF!-Satser!B216)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>
      <c r="A256" s="73"/>
      <c r="B256" s="5"/>
      <c r="C256" s="52"/>
      <c r="D256" s="54"/>
      <c r="E256" s="89" t="e">
        <f>SUM(D254:D255)</f>
        <v>#REF!</v>
      </c>
    </row>
    <row r="257" spans="1:5">
      <c r="A257" s="69" t="s">
        <v>8</v>
      </c>
      <c r="B257" s="5"/>
      <c r="C257" s="52"/>
      <c r="D257" s="54"/>
      <c r="E257" s="88"/>
    </row>
    <row r="258" spans="1:5">
      <c r="A258" s="73" t="s">
        <v>115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>
      <c r="A259" s="73"/>
      <c r="B259" s="5"/>
      <c r="C259" s="52"/>
      <c r="D259" s="54"/>
      <c r="E259" s="89" t="e">
        <f>D258</f>
        <v>#REF!</v>
      </c>
    </row>
    <row r="260" spans="1:5">
      <c r="A260" s="90"/>
      <c r="B260" s="5"/>
      <c r="C260" s="52"/>
      <c r="D260" s="54"/>
      <c r="E260" s="88"/>
    </row>
    <row r="261" spans="1:5">
      <c r="A261" s="69" t="s">
        <v>16</v>
      </c>
      <c r="B261" s="5"/>
      <c r="C261" s="17"/>
      <c r="D261" s="54"/>
      <c r="E261" s="88"/>
    </row>
    <row r="262" spans="1:5">
      <c r="A262" s="91" t="s">
        <v>115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>
      <c r="A263" s="74"/>
      <c r="B263" s="5"/>
      <c r="C263" s="52"/>
      <c r="D263" s="54"/>
      <c r="E263" s="89" t="e">
        <f>D262</f>
        <v>#REF!</v>
      </c>
    </row>
    <row r="264" spans="1:5">
      <c r="A264" s="73"/>
      <c r="B264" s="5"/>
      <c r="C264" s="52"/>
      <c r="D264" s="54"/>
      <c r="E264" s="89"/>
    </row>
    <row r="265" spans="1:5">
      <c r="A265" s="69" t="s">
        <v>10</v>
      </c>
      <c r="B265" s="5"/>
      <c r="C265" s="17"/>
      <c r="D265" s="54"/>
      <c r="E265" s="88"/>
    </row>
    <row r="266" spans="1:5">
      <c r="A266" s="91" t="s">
        <v>115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>
      <c r="A267" s="74"/>
      <c r="B267" s="5"/>
      <c r="C267" s="52"/>
      <c r="D267" s="54"/>
      <c r="E267" s="89" t="e">
        <f>D266</f>
        <v>#REF!</v>
      </c>
    </row>
    <row r="268" spans="1:5">
      <c r="A268" s="90"/>
      <c r="B268" s="17"/>
      <c r="C268" s="17"/>
      <c r="D268" s="17"/>
      <c r="E268" s="88"/>
    </row>
    <row r="269" spans="1:5">
      <c r="A269" s="90"/>
      <c r="B269" s="17"/>
      <c r="C269" s="17"/>
      <c r="D269" s="17"/>
      <c r="E269" s="88"/>
    </row>
    <row r="270" spans="1:5">
      <c r="A270" s="69" t="s">
        <v>11</v>
      </c>
      <c r="B270" s="5"/>
      <c r="C270" s="52"/>
      <c r="D270" s="54"/>
      <c r="E270" s="88"/>
    </row>
    <row r="271" spans="1:5">
      <c r="A271" s="91" t="s">
        <v>115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>
      <c r="A272" s="91"/>
      <c r="B272" s="5"/>
      <c r="C272" s="52"/>
      <c r="D272" s="54"/>
      <c r="E272" s="89" t="e">
        <f>D271</f>
        <v>#REF!</v>
      </c>
    </row>
    <row r="273" spans="1:7">
      <c r="A273" s="91"/>
      <c r="B273" s="5"/>
      <c r="C273" s="52"/>
      <c r="D273" s="54"/>
      <c r="E273" s="88"/>
    </row>
    <row r="274" spans="1:7">
      <c r="A274" s="69" t="s">
        <v>12</v>
      </c>
      <c r="B274" s="5"/>
      <c r="C274" s="52"/>
      <c r="D274" s="54"/>
      <c r="E274" s="88"/>
    </row>
    <row r="275" spans="1:7">
      <c r="A275" s="73" t="s">
        <v>115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>
      <c r="A276" s="74"/>
      <c r="B276" s="5"/>
      <c r="C276" s="92"/>
      <c r="D276" s="54"/>
      <c r="E276" s="89" t="e">
        <f>D275</f>
        <v>#REF!</v>
      </c>
    </row>
    <row r="277" spans="1:7">
      <c r="A277" s="90"/>
      <c r="B277" s="17"/>
      <c r="C277" s="17"/>
      <c r="D277" s="17"/>
      <c r="E277" s="88"/>
    </row>
    <row r="278" spans="1:7">
      <c r="A278" s="69" t="s">
        <v>136</v>
      </c>
      <c r="B278" s="17"/>
      <c r="C278" s="17"/>
      <c r="D278" s="17"/>
      <c r="E278" s="88"/>
    </row>
    <row r="279" spans="1:7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>
      <c r="A280" s="90"/>
      <c r="B280" s="17"/>
      <c r="C280" s="17"/>
      <c r="D280" s="17"/>
      <c r="E280" s="79" t="e">
        <f>D279</f>
        <v>#REF!</v>
      </c>
    </row>
    <row r="281" spans="1:7">
      <c r="A281" s="90"/>
      <c r="B281" s="17"/>
      <c r="C281" s="17"/>
      <c r="D281" s="17"/>
      <c r="E281" s="88"/>
    </row>
    <row r="282" spans="1:7">
      <c r="A282" s="71" t="s">
        <v>137</v>
      </c>
      <c r="B282" s="4"/>
      <c r="C282" s="4"/>
      <c r="D282" s="4"/>
      <c r="E282" s="93" t="e">
        <f>SUM(E246:E280)</f>
        <v>#REF!</v>
      </c>
    </row>
    <row r="285" spans="1:7">
      <c r="B285" t="s">
        <v>162</v>
      </c>
      <c r="D285" t="s">
        <v>165</v>
      </c>
      <c r="E285" t="s">
        <v>166</v>
      </c>
      <c r="G285" t="s">
        <v>30</v>
      </c>
    </row>
    <row r="287" spans="1:7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>
      <c r="B292" t="s">
        <v>163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>
      <c r="B293" t="s">
        <v>164</v>
      </c>
      <c r="C293">
        <v>50</v>
      </c>
      <c r="E293" t="e">
        <f>#REF!</f>
        <v>#REF!</v>
      </c>
      <c r="G293" t="e">
        <f t="shared" si="3"/>
        <v>#REF!</v>
      </c>
    </row>
    <row r="294" spans="2:8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>
      <c r="D295" s="5"/>
      <c r="E295" s="1"/>
      <c r="F295" s="18" t="s">
        <v>167</v>
      </c>
      <c r="G295" s="19" t="e">
        <f>SUM(G287:G294)</f>
        <v>#REF!</v>
      </c>
      <c r="H295" s="19" t="e">
        <f>SUM(H287:H294)</f>
        <v>#REF!</v>
      </c>
    </row>
    <row r="296" spans="2:8">
      <c r="D296" s="5"/>
      <c r="E296" s="1"/>
      <c r="F296" s="18"/>
      <c r="G296" s="19"/>
      <c r="H296" s="20" t="e">
        <f>H295+G295</f>
        <v>#REF!</v>
      </c>
    </row>
    <row r="297" spans="2:8">
      <c r="D297" s="5"/>
      <c r="E297" s="1"/>
      <c r="F297" s="18"/>
      <c r="G297" s="19"/>
      <c r="H297" s="20"/>
    </row>
    <row r="298" spans="2:8">
      <c r="D298" s="1"/>
      <c r="E298" s="1"/>
      <c r="F298" s="7"/>
    </row>
    <row r="299" spans="2:8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"/>
  <dimension ref="A1"/>
  <sheetViews>
    <sheetView workbookViewId="0"/>
  </sheetViews>
  <sheetFormatPr baseColWidth="10" defaultRowHeight="12.75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"/>
  <sheetViews>
    <sheetView workbookViewId="0"/>
  </sheetViews>
  <sheetFormatPr baseColWidth="10" defaultRowHeight="12.75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F673"/>
  <sheetViews>
    <sheetView tabSelected="1" topLeftCell="A25" zoomScale="80" zoomScaleNormal="80" workbookViewId="0">
      <selection activeCell="F20" sqref="F20"/>
    </sheetView>
  </sheetViews>
  <sheetFormatPr baseColWidth="10" defaultColWidth="9.140625" defaultRowHeight="12.75"/>
  <cols>
    <col min="1" max="1" width="48.42578125" style="166" customWidth="1"/>
    <col min="2" max="2" width="11.140625" style="166" customWidth="1"/>
    <col min="3" max="3" width="9.85546875" style="166" customWidth="1"/>
    <col min="4" max="4" width="50.85546875" style="122" customWidth="1"/>
    <col min="5" max="5" width="18.5703125" style="122" customWidth="1"/>
    <col min="6" max="6" width="24.42578125" style="162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6"/>
  </cols>
  <sheetData>
    <row r="1" spans="1:8" ht="26.25">
      <c r="A1" s="118" t="s">
        <v>257</v>
      </c>
      <c r="B1" s="121"/>
      <c r="C1" s="121"/>
      <c r="D1" s="180"/>
    </row>
    <row r="2" spans="1:8" ht="6" customHeight="1" thickBot="1">
      <c r="A2" s="123"/>
      <c r="B2" s="123"/>
      <c r="C2" s="123"/>
      <c r="D2" s="124"/>
      <c r="E2" s="124"/>
      <c r="F2" s="163"/>
    </row>
    <row r="3" spans="1:8" ht="20.25" customHeight="1" thickBot="1">
      <c r="A3" s="119" t="s">
        <v>128</v>
      </c>
      <c r="B3" s="120"/>
      <c r="C3" s="181"/>
      <c r="D3" s="193" t="s">
        <v>143</v>
      </c>
      <c r="E3" s="280" t="s">
        <v>250</v>
      </c>
      <c r="F3" s="281"/>
      <c r="G3" s="282" t="s">
        <v>151</v>
      </c>
      <c r="H3" s="283"/>
    </row>
    <row r="4" spans="1:8" ht="16.5" customHeight="1">
      <c r="A4" s="202" t="s">
        <v>171</v>
      </c>
      <c r="B4" s="203">
        <v>1</v>
      </c>
      <c r="C4" s="204"/>
      <c r="D4" s="182"/>
      <c r="E4" s="183" t="s">
        <v>204</v>
      </c>
      <c r="F4" s="184" t="s">
        <v>209</v>
      </c>
      <c r="G4" s="126"/>
      <c r="H4" s="125" t="s">
        <v>1</v>
      </c>
    </row>
    <row r="5" spans="1:8" ht="16.5" customHeight="1">
      <c r="A5" s="205" t="s">
        <v>220</v>
      </c>
      <c r="B5" s="206"/>
      <c r="C5" s="207"/>
      <c r="D5" s="234" t="s">
        <v>218</v>
      </c>
      <c r="E5" s="237" t="s">
        <v>258</v>
      </c>
      <c r="F5" s="238">
        <f>(B11+B12)*Satser!C283+(B11+B12)*Satser!D283</f>
        <v>0</v>
      </c>
      <c r="G5" s="129">
        <v>0.09</v>
      </c>
      <c r="H5" s="130">
        <f>(B11+B12)*G5</f>
        <v>0</v>
      </c>
    </row>
    <row r="6" spans="1:8" ht="15" customHeight="1">
      <c r="A6" s="205"/>
      <c r="B6" s="206"/>
      <c r="C6" s="207"/>
      <c r="D6" s="235" t="s">
        <v>84</v>
      </c>
      <c r="E6" s="239" t="s">
        <v>244</v>
      </c>
      <c r="F6" s="238">
        <f>B15*Satser!C285+B15*Satser!D285</f>
        <v>0</v>
      </c>
      <c r="G6" s="129">
        <v>2</v>
      </c>
      <c r="H6" s="130" t="e">
        <f>#REF!*G6</f>
        <v>#REF!</v>
      </c>
    </row>
    <row r="7" spans="1:8" ht="16.5" customHeight="1">
      <c r="A7" s="208" t="s">
        <v>221</v>
      </c>
      <c r="B7" s="209"/>
      <c r="C7" s="210"/>
      <c r="D7" s="235" t="s">
        <v>86</v>
      </c>
      <c r="E7" s="239" t="s">
        <v>259</v>
      </c>
      <c r="F7" s="238">
        <f>B16*Satser!C287+B16*Satser!D287</f>
        <v>0</v>
      </c>
      <c r="G7" s="129">
        <v>-0.8</v>
      </c>
      <c r="H7" s="130">
        <f>B15*G7</f>
        <v>0</v>
      </c>
    </row>
    <row r="8" spans="1:8" ht="12.75" customHeight="1">
      <c r="A8" s="208" t="s">
        <v>170</v>
      </c>
      <c r="B8" s="209"/>
      <c r="C8" s="210"/>
      <c r="D8" s="235" t="s">
        <v>48</v>
      </c>
      <c r="E8" s="239" t="s">
        <v>260</v>
      </c>
      <c r="F8" s="238">
        <f>B18*Satser!C288+B18*Satser!D288+B19*Satser!C289+B19*Satser!D289+B20*Satser!C290+B20*Satser!D290</f>
        <v>0</v>
      </c>
      <c r="G8" s="129">
        <v>0</v>
      </c>
      <c r="H8" s="130" t="e">
        <f>#REF!*G8</f>
        <v>#REF!</v>
      </c>
    </row>
    <row r="9" spans="1:8" ht="12.75" customHeight="1">
      <c r="A9" s="211" t="s">
        <v>169</v>
      </c>
      <c r="B9" s="279"/>
      <c r="C9" s="212"/>
      <c r="D9" s="235" t="s">
        <v>71</v>
      </c>
      <c r="E9" s="239" t="s">
        <v>261</v>
      </c>
      <c r="F9" s="238">
        <f>B21*Satser!C291+B21*Satser!D291</f>
        <v>0</v>
      </c>
      <c r="G9" s="129">
        <v>3</v>
      </c>
      <c r="H9" s="130">
        <f>B16*G9</f>
        <v>0</v>
      </c>
    </row>
    <row r="10" spans="1:8" ht="15.75" customHeight="1">
      <c r="A10" s="208" t="s">
        <v>69</v>
      </c>
      <c r="B10" s="206"/>
      <c r="C10" s="207"/>
      <c r="D10" s="235" t="s">
        <v>85</v>
      </c>
      <c r="E10" s="239" t="s">
        <v>244</v>
      </c>
      <c r="F10" s="238">
        <f>B22*(Satser!C292-0.4)+B22*Satser!D292</f>
        <v>0</v>
      </c>
      <c r="G10" s="129">
        <v>0.02</v>
      </c>
      <c r="H10" s="130">
        <f>B18*G10</f>
        <v>0</v>
      </c>
    </row>
    <row r="11" spans="1:8" ht="15.75" customHeight="1">
      <c r="A11" s="213" t="s">
        <v>13</v>
      </c>
      <c r="B11" s="214"/>
      <c r="C11" s="210" t="s">
        <v>14</v>
      </c>
      <c r="D11" s="235" t="s">
        <v>38</v>
      </c>
      <c r="E11" s="239" t="s">
        <v>261</v>
      </c>
      <c r="F11" s="238">
        <f>B24*Satser!C293+B24*Satser!D293</f>
        <v>0</v>
      </c>
      <c r="G11" s="129">
        <v>0.02</v>
      </c>
      <c r="H11" s="130" t="e">
        <f>#REF!*G11</f>
        <v>#REF!</v>
      </c>
    </row>
    <row r="12" spans="1:8" ht="15.75" customHeight="1">
      <c r="A12" s="213" t="s">
        <v>15</v>
      </c>
      <c r="B12" s="214"/>
      <c r="C12" s="210" t="s">
        <v>14</v>
      </c>
      <c r="D12" s="235" t="s">
        <v>154</v>
      </c>
      <c r="E12" s="239" t="s">
        <v>262</v>
      </c>
      <c r="F12" s="238">
        <f>B25*Satser!C294+B25*Satser!D294</f>
        <v>0</v>
      </c>
      <c r="G12" s="129"/>
      <c r="H12" s="130"/>
    </row>
    <row r="13" spans="1:8" ht="15.75" customHeight="1">
      <c r="A13" s="213" t="s">
        <v>149</v>
      </c>
      <c r="B13" s="214"/>
      <c r="C13" s="210" t="s">
        <v>2</v>
      </c>
      <c r="D13" s="236" t="s">
        <v>62</v>
      </c>
      <c r="E13" s="240" t="s">
        <v>262</v>
      </c>
      <c r="F13" s="241">
        <f>B26*Satser!C295+B26*Satser!D295</f>
        <v>0</v>
      </c>
      <c r="G13" s="129"/>
      <c r="H13" s="130"/>
    </row>
    <row r="14" spans="1:8" ht="15.75" customHeight="1">
      <c r="A14" s="273" t="s">
        <v>263</v>
      </c>
      <c r="B14" s="270"/>
      <c r="C14" s="271" t="s">
        <v>252</v>
      </c>
      <c r="D14" s="235" t="s">
        <v>237</v>
      </c>
      <c r="E14" s="239" t="s">
        <v>245</v>
      </c>
      <c r="F14" s="238">
        <f>(43.2*0.017)*B13</f>
        <v>0</v>
      </c>
      <c r="G14" s="129"/>
      <c r="H14" s="130"/>
    </row>
    <row r="15" spans="1:8" ht="15.75" customHeight="1">
      <c r="A15" s="213" t="s">
        <v>176</v>
      </c>
      <c r="B15" s="214"/>
      <c r="C15" s="210" t="s">
        <v>2</v>
      </c>
      <c r="D15" s="235" t="s">
        <v>238</v>
      </c>
      <c r="E15" s="239" t="s">
        <v>246</v>
      </c>
      <c r="F15" s="241">
        <f>18*0.017*B23</f>
        <v>0</v>
      </c>
      <c r="G15" s="129">
        <v>0.25</v>
      </c>
      <c r="H15" s="130">
        <f>B22*G15</f>
        <v>0</v>
      </c>
    </row>
    <row r="16" spans="1:8" ht="15.75" customHeight="1">
      <c r="A16" s="213" t="s">
        <v>177</v>
      </c>
      <c r="B16" s="214"/>
      <c r="C16" s="210" t="s">
        <v>2</v>
      </c>
      <c r="D16" s="248" t="s">
        <v>234</v>
      </c>
      <c r="E16" s="251"/>
      <c r="F16" s="252">
        <f>SUM(F5:F15)</f>
        <v>0</v>
      </c>
      <c r="G16" s="135">
        <v>4.5999999999999999E-2</v>
      </c>
      <c r="H16" s="136">
        <f>B26*G16</f>
        <v>0</v>
      </c>
    </row>
    <row r="17" spans="1:8" ht="15.75" customHeight="1">
      <c r="A17" s="213" t="s">
        <v>248</v>
      </c>
      <c r="B17" s="214"/>
      <c r="C17" s="210" t="s">
        <v>2</v>
      </c>
      <c r="D17" s="235" t="s">
        <v>239</v>
      </c>
      <c r="E17" s="239"/>
      <c r="F17" s="238">
        <f>IF(B9&gt;2,(B13+B16)*(0),0)</f>
        <v>0</v>
      </c>
      <c r="G17" s="135"/>
      <c r="H17" s="136"/>
    </row>
    <row r="18" spans="1:8" ht="15.75" customHeight="1">
      <c r="A18" s="213" t="s">
        <v>214</v>
      </c>
      <c r="B18" s="214"/>
      <c r="C18" s="210" t="s">
        <v>2</v>
      </c>
      <c r="D18" s="235" t="s">
        <v>240</v>
      </c>
      <c r="E18" s="239"/>
      <c r="F18" s="238">
        <f>IF(B8="b",(B11+B12)*0,IF(B8="c",(B11+B12)*0.01,IF(B8="a",0,IF(B8="",0,(B11+B12)*0.02))))</f>
        <v>0</v>
      </c>
      <c r="G18" s="126"/>
      <c r="H18" s="137" t="e">
        <f>SUM(H5:H16)</f>
        <v>#REF!</v>
      </c>
    </row>
    <row r="19" spans="1:8" ht="15.75" customHeight="1">
      <c r="A19" s="213" t="s">
        <v>178</v>
      </c>
      <c r="B19" s="214"/>
      <c r="C19" s="210" t="s">
        <v>2</v>
      </c>
      <c r="D19" s="235" t="s">
        <v>269</v>
      </c>
      <c r="E19" s="239"/>
      <c r="F19" s="238">
        <f>IF(B4&gt;5,B24*0.1,0)</f>
        <v>0</v>
      </c>
      <c r="G19" s="190"/>
      <c r="H19" s="191"/>
    </row>
    <row r="20" spans="1:8" ht="15.75" customHeight="1">
      <c r="A20" s="213" t="s">
        <v>179</v>
      </c>
      <c r="B20" s="214"/>
      <c r="C20" s="210" t="s">
        <v>2</v>
      </c>
      <c r="D20" s="235" t="s">
        <v>253</v>
      </c>
      <c r="E20" s="239" t="s">
        <v>264</v>
      </c>
      <c r="F20" s="238">
        <f>B13*B14*3.7</f>
        <v>0</v>
      </c>
      <c r="G20" s="190"/>
      <c r="H20" s="191"/>
    </row>
    <row r="21" spans="1:8" ht="15.75" customHeight="1">
      <c r="A21" s="213" t="s">
        <v>71</v>
      </c>
      <c r="B21" s="214"/>
      <c r="C21" s="210" t="s">
        <v>2</v>
      </c>
      <c r="D21" s="235" t="s">
        <v>247</v>
      </c>
      <c r="E21" s="239"/>
      <c r="F21" s="238">
        <f>B17*1</f>
        <v>0</v>
      </c>
      <c r="G21" s="139"/>
      <c r="H21" s="130" t="e">
        <f>tilbud!C223</f>
        <v>#REF!</v>
      </c>
    </row>
    <row r="22" spans="1:8" ht="15.75" customHeight="1">
      <c r="A22" s="213" t="s">
        <v>85</v>
      </c>
      <c r="B22" s="214"/>
      <c r="C22" s="210" t="s">
        <v>2</v>
      </c>
      <c r="D22" s="235" t="s">
        <v>210</v>
      </c>
      <c r="E22" s="239"/>
      <c r="F22" s="238">
        <f>B12*0.15</f>
        <v>0</v>
      </c>
      <c r="G22" s="139" t="s">
        <v>160</v>
      </c>
      <c r="H22" s="130" t="e">
        <f>0*B27+0*#REF!-#REF!*63+#REF!*0</f>
        <v>#REF!</v>
      </c>
    </row>
    <row r="23" spans="1:8" ht="15.75" customHeight="1">
      <c r="A23" s="213" t="s">
        <v>225</v>
      </c>
      <c r="B23" s="214"/>
      <c r="C23" s="210" t="s">
        <v>2</v>
      </c>
      <c r="D23" s="235" t="s">
        <v>76</v>
      </c>
      <c r="E23" s="239"/>
      <c r="F23" s="238">
        <f>(Satser!H274+Satser!H283)</f>
        <v>0</v>
      </c>
      <c r="G23" s="139"/>
      <c r="H23" s="130"/>
    </row>
    <row r="24" spans="1:8" ht="15.75" customHeight="1">
      <c r="A24" s="213" t="s">
        <v>61</v>
      </c>
      <c r="B24" s="214"/>
      <c r="C24" s="210" t="s">
        <v>2</v>
      </c>
      <c r="D24" s="235" t="s">
        <v>130</v>
      </c>
      <c r="E24" s="239"/>
      <c r="F24" s="238">
        <f>0*B27</f>
        <v>0</v>
      </c>
      <c r="G24" s="138">
        <v>7</v>
      </c>
      <c r="H24" s="130">
        <f>(B29+B30+(B31*0.6)+B32+B33+B34+B35)*G24</f>
        <v>0</v>
      </c>
    </row>
    <row r="25" spans="1:8" ht="15.75" customHeight="1">
      <c r="A25" s="213" t="s">
        <v>215</v>
      </c>
      <c r="B25" s="214"/>
      <c r="C25" s="210" t="s">
        <v>54</v>
      </c>
      <c r="D25" s="235" t="s">
        <v>82</v>
      </c>
      <c r="E25" s="239"/>
      <c r="F25" s="238">
        <f>(B29+B30+(B31*0.6)+B32+B33+B34+B35)*Satser!C301</f>
        <v>0</v>
      </c>
      <c r="G25" s="138"/>
      <c r="H25" s="130"/>
    </row>
    <row r="26" spans="1:8" ht="15.75" customHeight="1">
      <c r="A26" s="215" t="s">
        <v>216</v>
      </c>
      <c r="B26" s="216"/>
      <c r="C26" s="212" t="s">
        <v>54</v>
      </c>
      <c r="D26" s="235" t="s">
        <v>83</v>
      </c>
      <c r="E26" s="242"/>
      <c r="F26" s="238">
        <f>IF(B4="","Sone mangler",Satser!E39)</f>
        <v>0</v>
      </c>
      <c r="G26" s="138"/>
      <c r="H26" s="130" t="e">
        <f>tilbud!E37</f>
        <v>#REF!</v>
      </c>
    </row>
    <row r="27" spans="1:8" ht="15.75" customHeight="1">
      <c r="A27" s="213" t="s">
        <v>206</v>
      </c>
      <c r="B27" s="214"/>
      <c r="C27" s="210" t="s">
        <v>59</v>
      </c>
      <c r="D27" s="235" t="s">
        <v>68</v>
      </c>
      <c r="E27" s="243" t="str">
        <f>IF(B62&lt;2,(IF(Satser!C102&gt;0,"Toppavgrensing",IF(Satser!C103&gt;0,"Toppavgrensing",IF(Satser!C104&gt;0,"Toppavgr.før, ikke nå","")))),IF(Satser!I102&gt;0,"Toppavgrensing",IF(Satser!I103&gt;0,"Toppavgrensing",IF(Satser!I104&gt;0,"Toppavgr.før, ikke nå",""))))</f>
        <v/>
      </c>
      <c r="F27" s="238">
        <f>IF($B$62&lt;2,(IF(Satser!$C$105=0,Satser!$D$107,Satser!$C$105)),IF(Satser!I105=0,Satser!D107,Satser!I105))</f>
        <v>0</v>
      </c>
      <c r="G27" s="139" t="s">
        <v>175</v>
      </c>
      <c r="H27" s="130">
        <f>B48*0+B47*0</f>
        <v>0</v>
      </c>
    </row>
    <row r="28" spans="1:8" ht="15.75" customHeight="1">
      <c r="A28" s="217" t="s">
        <v>49</v>
      </c>
      <c r="B28" s="218"/>
      <c r="C28" s="219"/>
      <c r="D28" s="235" t="s">
        <v>168</v>
      </c>
      <c r="E28" s="244"/>
      <c r="F28" s="238">
        <f>IF($B$7="Ja",Satser!H260,0)</f>
        <v>0</v>
      </c>
      <c r="G28" s="141" t="e">
        <f>IF(tilbud!C204&gt;0,"Toppavgrensing",IF(tilbud!C205&gt;0,"Toppavgrensing",IF(tilbud!C206&gt;0,"Toppavgr.før, ikke nå","")))</f>
        <v>#REF!</v>
      </c>
      <c r="H28" s="130" t="e">
        <f>IF(tilbud!$C$207=0,tilbud!$D$210,tilbud!$C$207)</f>
        <v>#REF!</v>
      </c>
    </row>
    <row r="29" spans="1:8" ht="15.75" customHeight="1">
      <c r="A29" s="213" t="s">
        <v>51</v>
      </c>
      <c r="B29" s="214"/>
      <c r="C29" s="210" t="s">
        <v>3</v>
      </c>
      <c r="D29" s="235" t="s">
        <v>146</v>
      </c>
      <c r="E29" s="239"/>
      <c r="F29" s="238">
        <f>B49*17+B50*0</f>
        <v>0</v>
      </c>
      <c r="G29" s="139"/>
      <c r="H29" s="130">
        <v>500</v>
      </c>
    </row>
    <row r="30" spans="1:8" ht="15.75" customHeight="1">
      <c r="A30" s="213" t="s">
        <v>50</v>
      </c>
      <c r="B30" s="214"/>
      <c r="C30" s="210" t="s">
        <v>3</v>
      </c>
      <c r="D30" s="235" t="s">
        <v>64</v>
      </c>
      <c r="E30" s="239"/>
      <c r="F30" s="238">
        <f>B48*13+B47*25</f>
        <v>0</v>
      </c>
      <c r="G30" s="143"/>
      <c r="H30" s="142" t="e">
        <f>SUM(H21:H29)</f>
        <v>#REF!</v>
      </c>
    </row>
    <row r="31" spans="1:8" ht="19.5" customHeight="1">
      <c r="A31" s="213" t="s">
        <v>73</v>
      </c>
      <c r="B31" s="214"/>
      <c r="C31" s="210" t="s">
        <v>3</v>
      </c>
      <c r="D31" s="235" t="s">
        <v>139</v>
      </c>
      <c r="E31" s="243" t="str">
        <f>IF(Satser!C162&gt;0,"Toppavgrensing",IF(Satser!C163&gt;0,"Toppavgrensing",IF(Satser!C164&gt;0,"Toppavgr.før, ikke nå","")))</f>
        <v/>
      </c>
      <c r="F31" s="238">
        <f>IF(Satser!$C$165=0,Satser!$D$168,Satser!$C$165)</f>
        <v>0</v>
      </c>
      <c r="G31" s="144">
        <v>0.02</v>
      </c>
      <c r="H31" s="145">
        <f>G31*B52</f>
        <v>0</v>
      </c>
    </row>
    <row r="32" spans="1:8" ht="18" customHeight="1">
      <c r="A32" s="213" t="s">
        <v>74</v>
      </c>
      <c r="B32" s="214"/>
      <c r="C32" s="210" t="s">
        <v>3</v>
      </c>
      <c r="D32" s="235" t="s">
        <v>67</v>
      </c>
      <c r="E32" s="244"/>
      <c r="F32" s="238">
        <v>0</v>
      </c>
      <c r="G32" s="147"/>
      <c r="H32" s="146" t="e">
        <f>H30+H18-H31</f>
        <v>#REF!</v>
      </c>
    </row>
    <row r="33" spans="1:12" ht="21" customHeight="1">
      <c r="A33" s="213" t="s">
        <v>62</v>
      </c>
      <c r="B33" s="214"/>
      <c r="C33" s="210" t="s">
        <v>3</v>
      </c>
      <c r="D33" s="248" t="s">
        <v>142</v>
      </c>
      <c r="E33" s="249"/>
      <c r="F33" s="250">
        <f>SUM(F17:F32)</f>
        <v>0</v>
      </c>
      <c r="G33" s="149"/>
      <c r="H33" s="150"/>
      <c r="L33" s="278"/>
    </row>
    <row r="34" spans="1:12" ht="17.25" customHeight="1">
      <c r="A34" s="213" t="s">
        <v>154</v>
      </c>
      <c r="B34" s="214"/>
      <c r="C34" s="210" t="s">
        <v>3</v>
      </c>
      <c r="D34" s="200" t="s">
        <v>219</v>
      </c>
      <c r="E34" s="277" t="s">
        <v>273</v>
      </c>
      <c r="F34" s="201">
        <f>0.07*B52</f>
        <v>0</v>
      </c>
      <c r="G34" s="151"/>
      <c r="H34" s="152"/>
    </row>
    <row r="35" spans="1:12" ht="17.25" customHeight="1" thickBot="1">
      <c r="A35" s="213" t="s">
        <v>152</v>
      </c>
      <c r="B35" s="214"/>
      <c r="C35" s="210" t="s">
        <v>3</v>
      </c>
      <c r="D35" s="256" t="s">
        <v>265</v>
      </c>
      <c r="E35" s="257"/>
      <c r="F35" s="258">
        <f>F33+F16-F34</f>
        <v>0</v>
      </c>
      <c r="G35" s="154"/>
      <c r="H35" s="152"/>
    </row>
    <row r="36" spans="1:12" ht="18.75" customHeight="1">
      <c r="A36" s="217" t="s">
        <v>70</v>
      </c>
      <c r="B36" s="221"/>
      <c r="C36" s="222"/>
      <c r="D36" s="259"/>
      <c r="E36" s="260"/>
      <c r="F36" s="261"/>
      <c r="G36" s="151"/>
      <c r="H36" s="152"/>
    </row>
    <row r="37" spans="1:12" ht="17.25" customHeight="1">
      <c r="A37" s="213" t="s">
        <v>4</v>
      </c>
      <c r="B37" s="223"/>
      <c r="C37" s="210" t="s">
        <v>5</v>
      </c>
      <c r="D37" s="231" t="s">
        <v>226</v>
      </c>
      <c r="E37" s="196"/>
      <c r="F37" s="197"/>
      <c r="G37" s="124"/>
      <c r="H37" s="153"/>
    </row>
    <row r="38" spans="1:12" ht="17.25" customHeight="1">
      <c r="A38" s="213" t="s">
        <v>202</v>
      </c>
      <c r="B38" s="223"/>
      <c r="C38" s="210" t="s">
        <v>5</v>
      </c>
      <c r="D38" s="232" t="s">
        <v>233</v>
      </c>
      <c r="E38" s="198"/>
      <c r="F38" s="199"/>
      <c r="G38" s="124"/>
      <c r="H38" s="153"/>
      <c r="J38" s="121"/>
      <c r="K38" s="121"/>
      <c r="L38" s="121"/>
    </row>
    <row r="39" spans="1:12" ht="15.75" customHeight="1">
      <c r="A39" s="213" t="s">
        <v>6</v>
      </c>
      <c r="B39" s="223"/>
      <c r="C39" s="210" t="s">
        <v>5</v>
      </c>
      <c r="D39" s="264"/>
      <c r="E39" s="265"/>
      <c r="F39" s="266"/>
      <c r="G39" s="124"/>
      <c r="H39" s="153"/>
    </row>
    <row r="40" spans="1:12" ht="18" customHeight="1">
      <c r="A40" s="213" t="s">
        <v>66</v>
      </c>
      <c r="B40" s="223"/>
      <c r="C40" s="210" t="s">
        <v>5</v>
      </c>
      <c r="D40" s="263" t="s">
        <v>227</v>
      </c>
      <c r="E40" s="245"/>
      <c r="F40" s="246"/>
      <c r="G40" s="124"/>
      <c r="H40" s="153"/>
    </row>
    <row r="41" spans="1:12" ht="18" customHeight="1">
      <c r="A41" s="213" t="s">
        <v>127</v>
      </c>
      <c r="B41" s="223"/>
      <c r="C41" s="210" t="s">
        <v>5</v>
      </c>
      <c r="D41" s="235" t="s">
        <v>230</v>
      </c>
      <c r="E41" s="245"/>
      <c r="F41" s="262">
        <f>B54*0.019</f>
        <v>0</v>
      </c>
      <c r="G41" s="124"/>
      <c r="H41" s="153"/>
    </row>
    <row r="42" spans="1:12" ht="17.25" customHeight="1">
      <c r="A42" s="213" t="s">
        <v>254</v>
      </c>
      <c r="B42" s="223"/>
      <c r="C42" s="210" t="s">
        <v>5</v>
      </c>
      <c r="D42" s="235" t="s">
        <v>231</v>
      </c>
      <c r="E42" s="245"/>
      <c r="F42" s="262">
        <f>B53*0.004</f>
        <v>0</v>
      </c>
      <c r="G42" s="124"/>
      <c r="H42" s="153"/>
    </row>
    <row r="43" spans="1:12" ht="18" customHeight="1">
      <c r="A43" s="213" t="s">
        <v>10</v>
      </c>
      <c r="B43" s="223"/>
      <c r="C43" s="210" t="s">
        <v>5</v>
      </c>
      <c r="D43" s="248" t="s">
        <v>232</v>
      </c>
      <c r="E43" s="249"/>
      <c r="F43" s="253">
        <f>F41+F42</f>
        <v>0</v>
      </c>
      <c r="G43" s="124"/>
      <c r="H43" s="153"/>
    </row>
    <row r="44" spans="1:12" ht="19.5" customHeight="1">
      <c r="A44" s="213" t="s">
        <v>11</v>
      </c>
      <c r="B44" s="223"/>
      <c r="C44" s="210" t="s">
        <v>5</v>
      </c>
      <c r="D44" s="254" t="s">
        <v>256</v>
      </c>
      <c r="E44" s="247"/>
      <c r="F44" s="255">
        <f>F35-F43</f>
        <v>0</v>
      </c>
      <c r="G44" s="124"/>
      <c r="H44" s="153"/>
    </row>
    <row r="45" spans="1:12" ht="15.75" customHeight="1">
      <c r="A45" s="213" t="s">
        <v>135</v>
      </c>
      <c r="B45" s="223"/>
      <c r="C45" s="210" t="s">
        <v>5</v>
      </c>
      <c r="D45" s="230" t="s">
        <v>65</v>
      </c>
      <c r="E45" s="124"/>
      <c r="F45" s="177"/>
      <c r="G45" s="124"/>
      <c r="H45" s="153"/>
    </row>
    <row r="46" spans="1:12" ht="15.75" customHeight="1">
      <c r="A46" s="208" t="s">
        <v>141</v>
      </c>
      <c r="B46" s="224"/>
      <c r="C46" s="210"/>
      <c r="D46" s="230" t="s">
        <v>251</v>
      </c>
      <c r="E46" s="124"/>
      <c r="F46" s="177"/>
      <c r="G46" s="124"/>
      <c r="H46" s="153"/>
    </row>
    <row r="47" spans="1:12" ht="15.75" customHeight="1">
      <c r="A47" s="213" t="s">
        <v>235</v>
      </c>
      <c r="B47" s="223"/>
      <c r="C47" s="210" t="s">
        <v>5</v>
      </c>
      <c r="D47" s="230" t="s">
        <v>242</v>
      </c>
      <c r="E47" s="148"/>
      <c r="F47" s="164"/>
      <c r="G47" s="124"/>
      <c r="H47" s="153"/>
    </row>
    <row r="48" spans="1:12" ht="15.75" customHeight="1">
      <c r="A48" s="215" t="s">
        <v>236</v>
      </c>
      <c r="B48" s="216"/>
      <c r="C48" s="212" t="s">
        <v>5</v>
      </c>
      <c r="D48" s="230" t="s">
        <v>266</v>
      </c>
      <c r="E48" s="148"/>
      <c r="F48" s="164"/>
      <c r="G48" s="124"/>
      <c r="H48" s="153"/>
    </row>
    <row r="49" spans="1:8" ht="15.75" customHeight="1">
      <c r="A49" s="213" t="s">
        <v>172</v>
      </c>
      <c r="B49" s="214"/>
      <c r="C49" s="210" t="s">
        <v>5</v>
      </c>
      <c r="D49" s="230" t="s">
        <v>270</v>
      </c>
      <c r="E49" s="148"/>
      <c r="F49" s="164"/>
      <c r="G49" s="124"/>
      <c r="H49" s="153"/>
    </row>
    <row r="50" spans="1:8" ht="15.75" customHeight="1">
      <c r="A50" s="215" t="s">
        <v>173</v>
      </c>
      <c r="B50" s="216"/>
      <c r="C50" s="212" t="s">
        <v>5</v>
      </c>
      <c r="D50" s="230" t="s">
        <v>271</v>
      </c>
      <c r="E50" s="148"/>
      <c r="F50" s="164"/>
      <c r="G50" s="124"/>
      <c r="H50" s="153"/>
    </row>
    <row r="51" spans="1:8" ht="15.75" customHeight="1">
      <c r="A51" s="208" t="s">
        <v>211</v>
      </c>
      <c r="B51" s="220"/>
      <c r="C51" s="210"/>
      <c r="D51" s="230" t="s">
        <v>243</v>
      </c>
      <c r="E51" s="148"/>
      <c r="F51" s="164"/>
      <c r="G51" s="124"/>
      <c r="H51" s="153"/>
    </row>
    <row r="52" spans="1:8" ht="15.75" customHeight="1">
      <c r="A52" s="213" t="s">
        <v>161</v>
      </c>
      <c r="B52" s="223"/>
      <c r="C52" s="210" t="s">
        <v>2</v>
      </c>
      <c r="D52" s="230" t="s">
        <v>255</v>
      </c>
      <c r="E52" s="148"/>
      <c r="F52" s="164"/>
      <c r="G52" s="124"/>
      <c r="H52" s="153"/>
    </row>
    <row r="53" spans="1:8" ht="15.75" customHeight="1">
      <c r="A53" s="213" t="s">
        <v>228</v>
      </c>
      <c r="B53" s="223"/>
      <c r="C53" s="210" t="s">
        <v>224</v>
      </c>
      <c r="D53" s="230" t="s">
        <v>267</v>
      </c>
      <c r="E53" s="148"/>
      <c r="F53" s="164"/>
      <c r="G53" s="124"/>
      <c r="H53" s="153"/>
    </row>
    <row r="54" spans="1:8" ht="15.75" customHeight="1">
      <c r="A54" s="213" t="s">
        <v>229</v>
      </c>
      <c r="B54" s="223"/>
      <c r="C54" s="210" t="s">
        <v>224</v>
      </c>
      <c r="D54" s="230" t="s">
        <v>272</v>
      </c>
      <c r="E54" s="148"/>
      <c r="F54" s="164"/>
      <c r="G54" s="124"/>
      <c r="H54" s="153"/>
    </row>
    <row r="55" spans="1:8" ht="15.75" customHeight="1" thickBot="1">
      <c r="A55" s="274"/>
      <c r="B55" s="275"/>
      <c r="C55" s="276"/>
      <c r="D55" s="267" t="s">
        <v>268</v>
      </c>
      <c r="E55" s="155"/>
      <c r="F55" s="194"/>
      <c r="G55" s="124"/>
      <c r="H55" s="153"/>
    </row>
    <row r="56" spans="1:8" ht="15.75" customHeight="1" thickBot="1">
      <c r="G56" s="155"/>
      <c r="H56" s="156"/>
    </row>
    <row r="57" spans="1:8" ht="15.75" customHeight="1"/>
    <row r="58" spans="1:8">
      <c r="D58" s="166"/>
      <c r="E58" s="166"/>
      <c r="F58" s="166"/>
    </row>
    <row r="60" spans="1:8" ht="15" hidden="1">
      <c r="A60" s="213"/>
      <c r="B60" s="225"/>
      <c r="C60" s="210"/>
    </row>
    <row r="61" spans="1:8" ht="15" hidden="1">
      <c r="A61" s="208" t="s">
        <v>75</v>
      </c>
      <c r="B61" s="226"/>
      <c r="C61" s="210"/>
    </row>
    <row r="62" spans="1:8" ht="15.75" hidden="1" thickBot="1">
      <c r="A62" s="227" t="s">
        <v>72</v>
      </c>
      <c r="B62" s="228"/>
      <c r="C62" s="229" t="s">
        <v>59</v>
      </c>
    </row>
    <row r="93" spans="6:6">
      <c r="F93" s="167"/>
    </row>
    <row r="94" spans="6:6" s="178" customFormat="1">
      <c r="F94" s="179"/>
    </row>
    <row r="95" spans="6:6" s="178" customFormat="1">
      <c r="F95" s="179"/>
    </row>
    <row r="118" spans="1:4">
      <c r="A118" s="122"/>
      <c r="B118" s="122"/>
      <c r="C118" s="122"/>
    </row>
    <row r="119" spans="1:4">
      <c r="A119" s="122"/>
      <c r="B119" s="122"/>
      <c r="C119" s="122"/>
    </row>
    <row r="120" spans="1:4">
      <c r="A120" s="122"/>
      <c r="B120" s="122"/>
      <c r="C120" s="122"/>
      <c r="D120" s="185"/>
    </row>
    <row r="121" spans="1:4">
      <c r="A121" s="122"/>
      <c r="B121" s="122"/>
      <c r="C121" s="122"/>
    </row>
    <row r="122" spans="1:4">
      <c r="A122" s="122"/>
      <c r="B122" s="122"/>
      <c r="C122" s="122"/>
    </row>
    <row r="123" spans="1:4">
      <c r="A123" s="122"/>
      <c r="B123" s="122"/>
      <c r="C123" s="122"/>
    </row>
    <row r="124" spans="1:4">
      <c r="A124" s="122"/>
      <c r="B124" s="122"/>
      <c r="C124" s="122"/>
    </row>
    <row r="125" spans="1:4">
      <c r="A125" s="122"/>
      <c r="B125" s="122"/>
      <c r="C125" s="122"/>
    </row>
    <row r="126" spans="1:4">
      <c r="A126" s="122"/>
      <c r="B126" s="122"/>
      <c r="C126" s="122"/>
    </row>
    <row r="127" spans="1:4">
      <c r="A127" s="122"/>
      <c r="B127" s="122"/>
      <c r="C127" s="122"/>
    </row>
    <row r="128" spans="1:4">
      <c r="A128" s="122"/>
      <c r="B128" s="122"/>
      <c r="C128" s="122"/>
    </row>
    <row r="129" spans="1:3">
      <c r="A129" s="122"/>
      <c r="B129" s="122"/>
      <c r="C129" s="122"/>
    </row>
    <row r="130" spans="1:3">
      <c r="A130" s="122"/>
      <c r="B130" s="122"/>
      <c r="C130" s="122"/>
    </row>
    <row r="131" spans="1:3">
      <c r="A131" s="122"/>
      <c r="B131" s="122"/>
      <c r="C131" s="122"/>
    </row>
    <row r="132" spans="1:3">
      <c r="A132" s="122"/>
      <c r="B132" s="122"/>
      <c r="C132" s="122"/>
    </row>
    <row r="133" spans="1:3">
      <c r="A133" s="122"/>
      <c r="B133" s="122"/>
      <c r="C133" s="122"/>
    </row>
    <row r="134" spans="1:3">
      <c r="A134" s="122"/>
      <c r="B134" s="122"/>
      <c r="C134" s="122"/>
    </row>
    <row r="135" spans="1:3">
      <c r="A135" s="122"/>
      <c r="B135" s="122"/>
      <c r="C135" s="122"/>
    </row>
    <row r="136" spans="1:3">
      <c r="A136" s="122"/>
      <c r="B136" s="122"/>
      <c r="C136" s="122"/>
    </row>
    <row r="137" spans="1:3">
      <c r="A137" s="122"/>
      <c r="B137" s="122"/>
      <c r="C137" s="122"/>
    </row>
    <row r="138" spans="1:3">
      <c r="A138" s="122"/>
      <c r="B138" s="122"/>
      <c r="C138" s="122"/>
    </row>
    <row r="139" spans="1:3">
      <c r="A139" s="122"/>
      <c r="B139" s="122"/>
      <c r="C139" s="122"/>
    </row>
    <row r="140" spans="1:3">
      <c r="A140" s="122"/>
      <c r="B140" s="122"/>
      <c r="C140" s="122"/>
    </row>
    <row r="141" spans="1:3">
      <c r="A141" s="122"/>
      <c r="B141" s="122"/>
      <c r="C141" s="122"/>
    </row>
    <row r="142" spans="1:3">
      <c r="A142" s="122"/>
      <c r="B142" s="122"/>
      <c r="C142" s="122"/>
    </row>
    <row r="143" spans="1:3">
      <c r="A143" s="122"/>
      <c r="B143" s="122"/>
      <c r="C143" s="122"/>
    </row>
    <row r="144" spans="1:3">
      <c r="A144" s="122"/>
      <c r="B144" s="122"/>
      <c r="C144" s="122"/>
    </row>
    <row r="145" spans="1:3">
      <c r="A145" s="122"/>
      <c r="B145" s="122"/>
      <c r="C145" s="122"/>
    </row>
    <row r="146" spans="1:3">
      <c r="A146" s="122"/>
      <c r="B146" s="122"/>
      <c r="C146" s="122"/>
    </row>
    <row r="147" spans="1:3">
      <c r="A147" s="122"/>
      <c r="B147" s="122"/>
      <c r="C147" s="122"/>
    </row>
    <row r="148" spans="1:3">
      <c r="A148" s="122"/>
      <c r="B148" s="122"/>
      <c r="C148" s="122"/>
    </row>
    <row r="149" spans="1:3">
      <c r="A149" s="122"/>
      <c r="B149" s="122"/>
      <c r="C149" s="122"/>
    </row>
    <row r="150" spans="1:3">
      <c r="A150" s="122"/>
      <c r="B150" s="122"/>
      <c r="C150" s="122"/>
    </row>
    <row r="151" spans="1:3">
      <c r="A151" s="122"/>
      <c r="B151" s="122"/>
      <c r="C151" s="122"/>
    </row>
    <row r="152" spans="1:3">
      <c r="A152" s="122"/>
      <c r="B152" s="122"/>
      <c r="C152" s="122"/>
    </row>
    <row r="153" spans="1:3">
      <c r="A153" s="122"/>
      <c r="B153" s="122"/>
      <c r="C153" s="122"/>
    </row>
    <row r="154" spans="1:3">
      <c r="A154" s="122"/>
      <c r="B154" s="122"/>
      <c r="C154" s="122"/>
    </row>
    <row r="155" spans="1:3">
      <c r="A155" s="122"/>
      <c r="B155" s="122"/>
      <c r="C155" s="122"/>
    </row>
    <row r="156" spans="1:3">
      <c r="A156" s="122"/>
      <c r="B156" s="122"/>
      <c r="C156" s="122"/>
    </row>
    <row r="157" spans="1:3">
      <c r="A157" s="122"/>
      <c r="B157" s="122"/>
      <c r="C157" s="122"/>
    </row>
    <row r="158" spans="1:3">
      <c r="A158" s="122"/>
      <c r="B158" s="122"/>
      <c r="C158" s="122"/>
    </row>
    <row r="159" spans="1:3">
      <c r="A159" s="122"/>
      <c r="B159" s="122"/>
      <c r="C159" s="122"/>
    </row>
    <row r="160" spans="1:3">
      <c r="A160" s="122"/>
      <c r="B160" s="122"/>
      <c r="C160" s="122"/>
    </row>
    <row r="161" spans="1:3">
      <c r="A161" s="122"/>
      <c r="B161" s="122"/>
      <c r="C161" s="122"/>
    </row>
    <row r="162" spans="1:3">
      <c r="A162" s="122"/>
      <c r="B162" s="122"/>
      <c r="C162" s="122"/>
    </row>
    <row r="163" spans="1:3">
      <c r="A163" s="122"/>
      <c r="B163" s="122"/>
      <c r="C163" s="122"/>
    </row>
    <row r="164" spans="1:3">
      <c r="A164" s="122"/>
      <c r="B164" s="122"/>
      <c r="C164" s="122"/>
    </row>
    <row r="165" spans="1:3">
      <c r="A165" s="122"/>
      <c r="B165" s="122"/>
      <c r="C165" s="122"/>
    </row>
    <row r="166" spans="1:3">
      <c r="A166" s="122"/>
      <c r="B166" s="122"/>
      <c r="C166" s="122"/>
    </row>
    <row r="167" spans="1:3">
      <c r="A167" s="122"/>
      <c r="B167" s="122"/>
      <c r="C167" s="122"/>
    </row>
    <row r="168" spans="1:3">
      <c r="A168" s="122"/>
      <c r="B168" s="122"/>
      <c r="C168" s="122"/>
    </row>
    <row r="169" spans="1:3">
      <c r="A169" s="122"/>
      <c r="B169" s="122"/>
      <c r="C169" s="122"/>
    </row>
    <row r="170" spans="1:3">
      <c r="A170" s="122"/>
      <c r="B170" s="122"/>
      <c r="C170" s="122"/>
    </row>
    <row r="171" spans="1:3">
      <c r="A171" s="122"/>
      <c r="B171" s="122"/>
      <c r="C171" s="122"/>
    </row>
    <row r="172" spans="1:3">
      <c r="A172" s="122"/>
      <c r="B172" s="122"/>
      <c r="C172" s="122"/>
    </row>
    <row r="173" spans="1:3">
      <c r="A173" s="122"/>
      <c r="B173" s="122"/>
      <c r="C173" s="122"/>
    </row>
    <row r="174" spans="1:3">
      <c r="A174" s="122"/>
      <c r="B174" s="122"/>
      <c r="C174" s="122"/>
    </row>
    <row r="175" spans="1:3">
      <c r="A175" s="122"/>
      <c r="B175" s="122"/>
      <c r="C175" s="122"/>
    </row>
    <row r="176" spans="1:3">
      <c r="A176" s="122"/>
      <c r="B176" s="122"/>
      <c r="C176" s="122"/>
    </row>
    <row r="177" spans="1:3">
      <c r="A177" s="122"/>
      <c r="B177" s="122"/>
      <c r="C177" s="122"/>
    </row>
    <row r="178" spans="1:3">
      <c r="A178" s="122"/>
      <c r="B178" s="122"/>
      <c r="C178" s="122"/>
    </row>
    <row r="179" spans="1:3">
      <c r="A179" s="122"/>
      <c r="B179" s="122"/>
      <c r="C179" s="122"/>
    </row>
    <row r="180" spans="1:3">
      <c r="A180" s="122"/>
      <c r="B180" s="122"/>
      <c r="C180" s="122"/>
    </row>
    <row r="181" spans="1:3">
      <c r="A181" s="122"/>
      <c r="B181" s="122"/>
      <c r="C181" s="122"/>
    </row>
    <row r="182" spans="1:3">
      <c r="A182" s="122"/>
      <c r="B182" s="122"/>
      <c r="C182" s="122"/>
    </row>
    <row r="183" spans="1:3">
      <c r="A183" s="122"/>
      <c r="B183" s="122"/>
      <c r="C183" s="122"/>
    </row>
    <row r="184" spans="1:3">
      <c r="A184" s="122"/>
      <c r="B184" s="122"/>
      <c r="C184" s="122"/>
    </row>
    <row r="185" spans="1:3">
      <c r="A185" s="122"/>
      <c r="B185" s="122"/>
      <c r="C185" s="122"/>
    </row>
    <row r="186" spans="1:3">
      <c r="A186" s="122"/>
      <c r="B186" s="122"/>
      <c r="C186" s="122"/>
    </row>
    <row r="187" spans="1:3">
      <c r="A187" s="122"/>
      <c r="B187" s="122"/>
      <c r="C187" s="122"/>
    </row>
    <row r="188" spans="1:3">
      <c r="A188" s="122"/>
      <c r="B188" s="122"/>
      <c r="C188" s="122"/>
    </row>
    <row r="189" spans="1:3">
      <c r="A189" s="122"/>
      <c r="B189" s="122"/>
      <c r="C189" s="122"/>
    </row>
    <row r="190" spans="1:3">
      <c r="A190" s="122"/>
      <c r="B190" s="122"/>
      <c r="C190" s="122"/>
    </row>
    <row r="191" spans="1:3">
      <c r="A191" s="122"/>
      <c r="B191" s="122"/>
      <c r="C191" s="122"/>
    </row>
    <row r="192" spans="1:3">
      <c r="A192" s="122"/>
      <c r="B192" s="122"/>
      <c r="C192" s="122"/>
    </row>
    <row r="193" spans="1:3">
      <c r="A193" s="122"/>
      <c r="B193" s="122"/>
      <c r="C193" s="122"/>
    </row>
    <row r="194" spans="1:3">
      <c r="A194" s="122"/>
      <c r="B194" s="122"/>
      <c r="C194" s="122"/>
    </row>
    <row r="195" spans="1:3">
      <c r="A195" s="122"/>
      <c r="B195" s="122"/>
      <c r="C195" s="122"/>
    </row>
    <row r="196" spans="1:3">
      <c r="A196" s="122"/>
      <c r="B196" s="122"/>
      <c r="C196" s="122"/>
    </row>
    <row r="197" spans="1:3">
      <c r="A197" s="122"/>
      <c r="B197" s="122"/>
      <c r="C197" s="122"/>
    </row>
    <row r="198" spans="1:3">
      <c r="A198" s="122"/>
      <c r="B198" s="122"/>
      <c r="C198" s="122"/>
    </row>
    <row r="199" spans="1:3">
      <c r="A199" s="122"/>
      <c r="B199" s="122"/>
      <c r="C199" s="122"/>
    </row>
    <row r="200" spans="1:3">
      <c r="A200" s="122"/>
      <c r="B200" s="122"/>
      <c r="C200" s="122"/>
    </row>
    <row r="201" spans="1:3">
      <c r="A201" s="122"/>
      <c r="B201" s="122"/>
      <c r="C201" s="122"/>
    </row>
    <row r="202" spans="1:3">
      <c r="A202" s="122"/>
      <c r="B202" s="122"/>
      <c r="C202" s="122"/>
    </row>
    <row r="203" spans="1:3">
      <c r="A203" s="122"/>
      <c r="B203" s="122"/>
      <c r="C203" s="122"/>
    </row>
    <row r="204" spans="1:3">
      <c r="A204" s="122"/>
      <c r="B204" s="122"/>
      <c r="C204" s="122"/>
    </row>
    <row r="205" spans="1:3">
      <c r="A205" s="122"/>
      <c r="B205" s="122"/>
      <c r="C205" s="122"/>
    </row>
    <row r="206" spans="1:3">
      <c r="A206" s="122"/>
      <c r="B206" s="122"/>
      <c r="C206" s="122"/>
    </row>
    <row r="207" spans="1:3">
      <c r="A207" s="122"/>
      <c r="B207" s="122"/>
      <c r="C207" s="122"/>
    </row>
    <row r="208" spans="1:3">
      <c r="A208" s="122"/>
      <c r="B208" s="122"/>
      <c r="C208" s="122"/>
    </row>
    <row r="209" spans="1:3">
      <c r="A209" s="122"/>
      <c r="B209" s="122"/>
      <c r="C209" s="122"/>
    </row>
    <row r="210" spans="1:3">
      <c r="A210" s="122"/>
      <c r="B210" s="122"/>
      <c r="C210" s="122"/>
    </row>
    <row r="211" spans="1:3">
      <c r="A211" s="122"/>
      <c r="B211" s="122"/>
      <c r="C211" s="122"/>
    </row>
    <row r="212" spans="1:3">
      <c r="A212" s="122"/>
      <c r="B212" s="122"/>
      <c r="C212" s="122"/>
    </row>
    <row r="213" spans="1:3">
      <c r="A213" s="122"/>
      <c r="B213" s="122"/>
      <c r="C213" s="122"/>
    </row>
    <row r="214" spans="1:3">
      <c r="A214" s="122"/>
      <c r="B214" s="122"/>
      <c r="C214" s="122"/>
    </row>
    <row r="215" spans="1:3">
      <c r="A215" s="122"/>
      <c r="B215" s="122"/>
      <c r="C215" s="122"/>
    </row>
    <row r="216" spans="1:3">
      <c r="A216" s="122"/>
      <c r="B216" s="122"/>
      <c r="C216" s="122"/>
    </row>
    <row r="217" spans="1:3">
      <c r="A217" s="122"/>
      <c r="B217" s="122"/>
      <c r="C217" s="122"/>
    </row>
    <row r="218" spans="1:3">
      <c r="A218" s="122"/>
      <c r="B218" s="122"/>
      <c r="C218" s="122"/>
    </row>
    <row r="219" spans="1:3">
      <c r="A219" s="122"/>
      <c r="B219" s="122"/>
      <c r="C219" s="122"/>
    </row>
    <row r="220" spans="1:3">
      <c r="A220" s="122"/>
      <c r="B220" s="122"/>
      <c r="C220" s="122"/>
    </row>
    <row r="221" spans="1:3">
      <c r="A221" s="122"/>
      <c r="B221" s="122"/>
      <c r="C221" s="122"/>
    </row>
    <row r="222" spans="1:3">
      <c r="A222" s="122"/>
      <c r="B222" s="122"/>
      <c r="C222" s="122"/>
    </row>
    <row r="223" spans="1:3">
      <c r="A223" s="122"/>
      <c r="B223" s="122"/>
      <c r="C223" s="122"/>
    </row>
    <row r="224" spans="1:3">
      <c r="A224" s="122"/>
      <c r="B224" s="122"/>
      <c r="C224" s="122"/>
    </row>
    <row r="225" spans="1:3">
      <c r="A225" s="122"/>
      <c r="B225" s="122"/>
      <c r="C225" s="122"/>
    </row>
    <row r="226" spans="1:3">
      <c r="A226" s="122"/>
      <c r="B226" s="122"/>
      <c r="C226" s="122"/>
    </row>
    <row r="227" spans="1:3">
      <c r="A227" s="122"/>
      <c r="B227" s="122"/>
      <c r="C227" s="122"/>
    </row>
    <row r="228" spans="1:3">
      <c r="A228" s="122"/>
      <c r="B228" s="122"/>
      <c r="C228" s="122"/>
    </row>
    <row r="229" spans="1:3">
      <c r="A229" s="122"/>
      <c r="B229" s="122"/>
      <c r="C229" s="122"/>
    </row>
    <row r="230" spans="1:3">
      <c r="A230" s="122"/>
      <c r="B230" s="122"/>
      <c r="C230" s="122"/>
    </row>
    <row r="231" spans="1:3">
      <c r="A231" s="122"/>
      <c r="B231" s="122"/>
      <c r="C231" s="122"/>
    </row>
    <row r="232" spans="1:3">
      <c r="A232" s="122"/>
      <c r="B232" s="122"/>
      <c r="C232" s="122"/>
    </row>
    <row r="233" spans="1:3">
      <c r="A233" s="122"/>
      <c r="B233" s="122"/>
      <c r="C233" s="122"/>
    </row>
    <row r="234" spans="1:3">
      <c r="A234" s="122"/>
      <c r="B234" s="122"/>
      <c r="C234" s="122"/>
    </row>
    <row r="235" spans="1:3">
      <c r="A235" s="122"/>
      <c r="B235" s="122"/>
      <c r="C235" s="122"/>
    </row>
    <row r="236" spans="1:3">
      <c r="A236" s="122"/>
      <c r="B236" s="122"/>
      <c r="C236" s="122"/>
    </row>
    <row r="237" spans="1:3">
      <c r="A237" s="122"/>
      <c r="B237" s="122"/>
      <c r="C237" s="122"/>
    </row>
    <row r="238" spans="1:3">
      <c r="A238" s="122"/>
      <c r="B238" s="122"/>
      <c r="C238" s="122"/>
    </row>
    <row r="239" spans="1:3">
      <c r="A239" s="122"/>
      <c r="B239" s="122"/>
      <c r="C239" s="122"/>
    </row>
    <row r="240" spans="1:3">
      <c r="A240" s="122"/>
      <c r="B240" s="122"/>
      <c r="C240" s="122"/>
    </row>
    <row r="241" spans="1:3">
      <c r="A241" s="122"/>
      <c r="B241" s="122"/>
      <c r="C241" s="122"/>
    </row>
    <row r="242" spans="1:3">
      <c r="A242" s="122"/>
      <c r="B242" s="122"/>
      <c r="C242" s="122"/>
    </row>
    <row r="243" spans="1:3">
      <c r="A243" s="122"/>
      <c r="B243" s="122"/>
      <c r="C243" s="122"/>
    </row>
    <row r="244" spans="1:3">
      <c r="A244" s="122"/>
      <c r="B244" s="122"/>
      <c r="C244" s="122"/>
    </row>
    <row r="245" spans="1:3">
      <c r="A245" s="122"/>
      <c r="B245" s="122"/>
      <c r="C245" s="122"/>
    </row>
    <row r="246" spans="1:3">
      <c r="A246" s="122"/>
      <c r="B246" s="122"/>
      <c r="C246" s="122"/>
    </row>
    <row r="247" spans="1:3">
      <c r="A247" s="122"/>
      <c r="B247" s="122"/>
      <c r="C247" s="122"/>
    </row>
    <row r="248" spans="1:3">
      <c r="A248" s="122"/>
      <c r="B248" s="122"/>
      <c r="C248" s="122"/>
    </row>
    <row r="249" spans="1:3">
      <c r="A249" s="122"/>
      <c r="B249" s="122"/>
      <c r="C249" s="122"/>
    </row>
    <row r="250" spans="1:3">
      <c r="A250" s="122"/>
      <c r="B250" s="122"/>
      <c r="C250" s="122"/>
    </row>
    <row r="251" spans="1:3">
      <c r="A251" s="122"/>
      <c r="B251" s="122"/>
      <c r="C251" s="122"/>
    </row>
    <row r="252" spans="1:3">
      <c r="A252" s="122"/>
      <c r="B252" s="122"/>
      <c r="C252" s="122"/>
    </row>
    <row r="253" spans="1:3">
      <c r="A253" s="122"/>
      <c r="B253" s="122"/>
      <c r="C253" s="122"/>
    </row>
    <row r="254" spans="1:3">
      <c r="A254" s="122"/>
      <c r="B254" s="122"/>
      <c r="C254" s="122"/>
    </row>
    <row r="255" spans="1:3">
      <c r="A255" s="122"/>
      <c r="B255" s="122"/>
      <c r="C255" s="122"/>
    </row>
    <row r="256" spans="1:3">
      <c r="A256" s="122"/>
      <c r="B256" s="122"/>
      <c r="C256" s="122"/>
    </row>
    <row r="257" spans="1:3">
      <c r="A257" s="122"/>
      <c r="B257" s="122"/>
      <c r="C257" s="122"/>
    </row>
    <row r="258" spans="1:3">
      <c r="A258" s="122"/>
      <c r="B258" s="122"/>
      <c r="C258" s="122"/>
    </row>
    <row r="259" spans="1:3">
      <c r="A259" s="122"/>
      <c r="B259" s="122"/>
      <c r="C259" s="122"/>
    </row>
    <row r="260" spans="1:3">
      <c r="A260" s="122"/>
      <c r="B260" s="122"/>
      <c r="C260" s="122"/>
    </row>
    <row r="261" spans="1:3">
      <c r="A261" s="122"/>
      <c r="B261" s="122"/>
      <c r="C261" s="122"/>
    </row>
    <row r="262" spans="1:3">
      <c r="A262" s="122"/>
      <c r="B262" s="122"/>
      <c r="C262" s="122"/>
    </row>
    <row r="263" spans="1:3">
      <c r="A263" s="122"/>
      <c r="B263" s="122"/>
      <c r="C263" s="122"/>
    </row>
    <row r="264" spans="1:3">
      <c r="A264" s="122"/>
      <c r="B264" s="122"/>
      <c r="C264" s="122"/>
    </row>
    <row r="265" spans="1:3">
      <c r="A265" s="122"/>
      <c r="B265" s="122"/>
      <c r="C265" s="122"/>
    </row>
    <row r="266" spans="1:3">
      <c r="A266" s="122"/>
      <c r="B266" s="122"/>
      <c r="C266" s="122"/>
    </row>
    <row r="267" spans="1:3">
      <c r="A267" s="122"/>
      <c r="B267" s="122"/>
      <c r="C267" s="122"/>
    </row>
    <row r="268" spans="1:3">
      <c r="A268" s="122"/>
      <c r="B268" s="122"/>
      <c r="C268" s="122"/>
    </row>
    <row r="269" spans="1:3">
      <c r="A269" s="122"/>
      <c r="B269" s="122"/>
      <c r="C269" s="122"/>
    </row>
    <row r="270" spans="1:3">
      <c r="A270" s="122"/>
      <c r="B270" s="122"/>
      <c r="C270" s="122"/>
    </row>
    <row r="271" spans="1:3">
      <c r="A271" s="122"/>
      <c r="B271" s="122"/>
      <c r="C271" s="122"/>
    </row>
    <row r="272" spans="1:3">
      <c r="A272" s="122"/>
      <c r="B272" s="122"/>
      <c r="C272" s="122"/>
    </row>
    <row r="273" spans="1:3">
      <c r="A273" s="122"/>
      <c r="B273" s="122"/>
      <c r="C273" s="122"/>
    </row>
    <row r="274" spans="1:3">
      <c r="A274" s="122"/>
      <c r="B274" s="122"/>
      <c r="C274" s="122"/>
    </row>
    <row r="275" spans="1:3">
      <c r="A275" s="122"/>
      <c r="B275" s="122"/>
      <c r="C275" s="122"/>
    </row>
    <row r="276" spans="1:3">
      <c r="A276" s="122"/>
      <c r="B276" s="122"/>
      <c r="C276" s="122"/>
    </row>
    <row r="277" spans="1:3">
      <c r="A277" s="122"/>
      <c r="B277" s="122"/>
      <c r="C277" s="122"/>
    </row>
    <row r="278" spans="1:3">
      <c r="A278" s="122"/>
      <c r="B278" s="122"/>
      <c r="C278" s="122"/>
    </row>
    <row r="279" spans="1:3">
      <c r="A279" s="122"/>
      <c r="B279" s="122"/>
      <c r="C279" s="122"/>
    </row>
    <row r="280" spans="1:3">
      <c r="A280" s="122"/>
      <c r="B280" s="122"/>
      <c r="C280" s="122"/>
    </row>
    <row r="281" spans="1:3">
      <c r="A281" s="122"/>
      <c r="B281" s="122"/>
      <c r="C281" s="122"/>
    </row>
    <row r="282" spans="1:3">
      <c r="A282" s="122"/>
      <c r="B282" s="122"/>
      <c r="C282" s="122"/>
    </row>
    <row r="283" spans="1:3">
      <c r="A283" s="122"/>
      <c r="B283" s="122"/>
      <c r="C283" s="122"/>
    </row>
    <row r="284" spans="1:3">
      <c r="A284" s="122"/>
      <c r="B284" s="122"/>
      <c r="C284" s="122"/>
    </row>
    <row r="285" spans="1:3">
      <c r="A285" s="122"/>
      <c r="B285" s="122"/>
      <c r="C285" s="122"/>
    </row>
    <row r="286" spans="1:3">
      <c r="A286" s="122"/>
      <c r="B286" s="122"/>
      <c r="C286" s="122"/>
    </row>
    <row r="287" spans="1:3">
      <c r="A287" s="122"/>
      <c r="B287" s="122"/>
      <c r="C287" s="122"/>
    </row>
    <row r="288" spans="1:3">
      <c r="A288" s="122"/>
      <c r="B288" s="122"/>
      <c r="C288" s="122"/>
    </row>
    <row r="289" spans="1:3">
      <c r="A289" s="122"/>
      <c r="B289" s="122"/>
      <c r="C289" s="122"/>
    </row>
    <row r="290" spans="1:3">
      <c r="A290" s="122"/>
      <c r="B290" s="122"/>
      <c r="C290" s="122"/>
    </row>
    <row r="291" spans="1:3">
      <c r="A291" s="122"/>
      <c r="B291" s="122"/>
      <c r="C291" s="122"/>
    </row>
    <row r="292" spans="1:3">
      <c r="A292" s="122"/>
      <c r="B292" s="122"/>
      <c r="C292" s="122"/>
    </row>
    <row r="293" spans="1:3">
      <c r="A293" s="122"/>
      <c r="B293" s="122"/>
      <c r="C293" s="122"/>
    </row>
    <row r="294" spans="1:3">
      <c r="A294" s="122"/>
      <c r="B294" s="122"/>
      <c r="C294" s="122"/>
    </row>
    <row r="295" spans="1:3">
      <c r="A295" s="122"/>
      <c r="B295" s="122"/>
      <c r="C295" s="122"/>
    </row>
    <row r="296" spans="1:3">
      <c r="A296" s="122"/>
      <c r="B296" s="122"/>
      <c r="C296" s="122"/>
    </row>
    <row r="297" spans="1:3">
      <c r="A297" s="122"/>
      <c r="B297" s="122"/>
      <c r="C297" s="122"/>
    </row>
    <row r="298" spans="1:3">
      <c r="A298" s="122"/>
      <c r="B298" s="122"/>
      <c r="C298" s="122"/>
    </row>
    <row r="299" spans="1:3">
      <c r="A299" s="122"/>
      <c r="B299" s="122"/>
      <c r="C299" s="122"/>
    </row>
    <row r="300" spans="1:3">
      <c r="A300" s="122"/>
      <c r="B300" s="122"/>
      <c r="C300" s="122"/>
    </row>
    <row r="301" spans="1:3">
      <c r="A301" s="122"/>
      <c r="B301" s="122"/>
      <c r="C301" s="122"/>
    </row>
    <row r="302" spans="1:3">
      <c r="A302" s="122"/>
      <c r="B302" s="122"/>
      <c r="C302" s="122"/>
    </row>
    <row r="303" spans="1:3">
      <c r="A303" s="122"/>
      <c r="B303" s="122"/>
      <c r="C303" s="122"/>
    </row>
    <row r="304" spans="1:3">
      <c r="A304" s="122"/>
      <c r="B304" s="122"/>
      <c r="C304" s="122"/>
    </row>
    <row r="305" spans="1:3">
      <c r="A305" s="122"/>
      <c r="B305" s="122"/>
      <c r="C305" s="122"/>
    </row>
    <row r="306" spans="1:3">
      <c r="A306" s="122"/>
      <c r="B306" s="122"/>
      <c r="C306" s="122"/>
    </row>
    <row r="307" spans="1:3">
      <c r="A307" s="122"/>
      <c r="B307" s="122"/>
      <c r="C307" s="122"/>
    </row>
    <row r="308" spans="1:3">
      <c r="A308" s="122"/>
      <c r="B308" s="122"/>
      <c r="C308" s="122"/>
    </row>
    <row r="309" spans="1:3">
      <c r="A309" s="122"/>
      <c r="B309" s="122"/>
      <c r="C309" s="122"/>
    </row>
    <row r="310" spans="1:3">
      <c r="A310" s="122"/>
      <c r="B310" s="122"/>
      <c r="C310" s="122"/>
    </row>
    <row r="311" spans="1:3">
      <c r="A311" s="122"/>
      <c r="B311" s="122"/>
      <c r="C311" s="122"/>
    </row>
    <row r="312" spans="1:3">
      <c r="A312" s="122"/>
      <c r="B312" s="122"/>
      <c r="C312" s="122"/>
    </row>
    <row r="313" spans="1:3">
      <c r="A313" s="122"/>
      <c r="B313" s="122"/>
      <c r="C313" s="122"/>
    </row>
    <row r="314" spans="1:3">
      <c r="A314" s="122"/>
      <c r="B314" s="122"/>
      <c r="C314" s="122"/>
    </row>
    <row r="315" spans="1:3">
      <c r="A315" s="122"/>
      <c r="B315" s="122"/>
      <c r="C315" s="122"/>
    </row>
    <row r="316" spans="1:3">
      <c r="A316" s="122"/>
      <c r="B316" s="122"/>
      <c r="C316" s="122"/>
    </row>
    <row r="317" spans="1:3">
      <c r="A317" s="122"/>
      <c r="B317" s="122"/>
      <c r="C317" s="122"/>
    </row>
    <row r="318" spans="1:3">
      <c r="A318" s="122"/>
      <c r="B318" s="122"/>
      <c r="C318" s="122"/>
    </row>
    <row r="319" spans="1:3">
      <c r="A319" s="122"/>
      <c r="B319" s="122"/>
      <c r="C319" s="122"/>
    </row>
    <row r="320" spans="1:3">
      <c r="A320" s="122"/>
      <c r="B320" s="122"/>
      <c r="C320" s="122"/>
    </row>
    <row r="321" spans="1:3">
      <c r="A321" s="122"/>
      <c r="B321" s="122"/>
      <c r="C321" s="122"/>
    </row>
    <row r="322" spans="1:3">
      <c r="A322" s="122"/>
      <c r="B322" s="122"/>
      <c r="C322" s="122"/>
    </row>
    <row r="323" spans="1:3">
      <c r="A323" s="122"/>
      <c r="B323" s="122"/>
      <c r="C323" s="122"/>
    </row>
    <row r="324" spans="1:3">
      <c r="A324" s="122"/>
      <c r="B324" s="122"/>
      <c r="C324" s="122"/>
    </row>
    <row r="325" spans="1:3">
      <c r="A325" s="122"/>
      <c r="B325" s="122"/>
      <c r="C325" s="122"/>
    </row>
    <row r="326" spans="1:3">
      <c r="A326" s="122"/>
      <c r="B326" s="122"/>
      <c r="C326" s="122"/>
    </row>
    <row r="327" spans="1:3">
      <c r="A327" s="122"/>
      <c r="B327" s="122"/>
      <c r="C327" s="122"/>
    </row>
    <row r="328" spans="1:3">
      <c r="A328" s="122"/>
      <c r="B328" s="122"/>
      <c r="C328" s="122"/>
    </row>
    <row r="329" spans="1:3">
      <c r="A329" s="122"/>
      <c r="B329" s="122"/>
      <c r="C329" s="122"/>
    </row>
    <row r="330" spans="1:3">
      <c r="A330" s="122"/>
      <c r="B330" s="122"/>
      <c r="C330" s="122"/>
    </row>
    <row r="331" spans="1:3">
      <c r="A331" s="122"/>
      <c r="B331" s="122"/>
      <c r="C331" s="122"/>
    </row>
    <row r="332" spans="1:3">
      <c r="A332" s="122"/>
      <c r="B332" s="122"/>
      <c r="C332" s="122"/>
    </row>
    <row r="333" spans="1:3">
      <c r="A333" s="122"/>
      <c r="B333" s="122"/>
      <c r="C333" s="122"/>
    </row>
    <row r="334" spans="1:3">
      <c r="A334" s="122"/>
      <c r="B334" s="122"/>
      <c r="C334" s="122"/>
    </row>
    <row r="335" spans="1:3">
      <c r="A335" s="122"/>
      <c r="B335" s="122"/>
      <c r="C335" s="122"/>
    </row>
    <row r="336" spans="1:3">
      <c r="A336" s="122"/>
      <c r="B336" s="122"/>
      <c r="C336" s="122"/>
    </row>
    <row r="337" spans="1:3">
      <c r="A337" s="122"/>
      <c r="B337" s="122"/>
      <c r="C337" s="122"/>
    </row>
    <row r="338" spans="1:3">
      <c r="A338" s="122"/>
      <c r="B338" s="122"/>
      <c r="C338" s="122"/>
    </row>
    <row r="339" spans="1:3">
      <c r="A339" s="122"/>
      <c r="B339" s="122"/>
      <c r="C339" s="122"/>
    </row>
    <row r="340" spans="1:3">
      <c r="A340" s="122"/>
      <c r="B340" s="122"/>
      <c r="C340" s="122"/>
    </row>
    <row r="341" spans="1:3">
      <c r="A341" s="122"/>
      <c r="B341" s="122"/>
      <c r="C341" s="122"/>
    </row>
    <row r="342" spans="1:3">
      <c r="A342" s="122"/>
      <c r="B342" s="122"/>
      <c r="C342" s="122"/>
    </row>
    <row r="343" spans="1:3">
      <c r="A343" s="122"/>
      <c r="B343" s="122"/>
      <c r="C343" s="122"/>
    </row>
    <row r="344" spans="1:3">
      <c r="A344" s="122"/>
      <c r="B344" s="122"/>
      <c r="C344" s="122"/>
    </row>
    <row r="345" spans="1:3">
      <c r="A345" s="122"/>
      <c r="B345" s="122"/>
      <c r="C345" s="122"/>
    </row>
    <row r="346" spans="1:3">
      <c r="A346" s="122"/>
      <c r="B346" s="122"/>
      <c r="C346" s="122"/>
    </row>
    <row r="347" spans="1:3">
      <c r="A347" s="122"/>
      <c r="B347" s="122"/>
      <c r="C347" s="122"/>
    </row>
    <row r="348" spans="1:3">
      <c r="A348" s="122"/>
      <c r="B348" s="122"/>
      <c r="C348" s="122"/>
    </row>
    <row r="349" spans="1:3">
      <c r="A349" s="122"/>
      <c r="B349" s="122"/>
      <c r="C349" s="122"/>
    </row>
    <row r="350" spans="1:3">
      <c r="A350" s="122"/>
      <c r="B350" s="122"/>
      <c r="C350" s="122"/>
    </row>
    <row r="351" spans="1:3">
      <c r="A351" s="122"/>
      <c r="B351" s="122"/>
      <c r="C351" s="122"/>
    </row>
    <row r="352" spans="1:3">
      <c r="A352" s="122"/>
      <c r="B352" s="122"/>
      <c r="C352" s="122"/>
    </row>
    <row r="353" spans="1:3">
      <c r="A353" s="122"/>
      <c r="B353" s="122"/>
      <c r="C353" s="122"/>
    </row>
    <row r="354" spans="1:3">
      <c r="A354" s="122"/>
      <c r="B354" s="122"/>
      <c r="C354" s="122"/>
    </row>
    <row r="355" spans="1:3">
      <c r="A355" s="122"/>
      <c r="B355" s="122"/>
      <c r="C355" s="122"/>
    </row>
    <row r="356" spans="1:3">
      <c r="A356" s="122"/>
      <c r="B356" s="122"/>
      <c r="C356" s="122"/>
    </row>
    <row r="357" spans="1:3">
      <c r="A357" s="122"/>
      <c r="B357" s="122"/>
      <c r="C357" s="122"/>
    </row>
    <row r="358" spans="1:3">
      <c r="A358" s="122"/>
      <c r="B358" s="122"/>
      <c r="C358" s="122"/>
    </row>
    <row r="359" spans="1:3">
      <c r="A359" s="122"/>
      <c r="B359" s="122"/>
      <c r="C359" s="122"/>
    </row>
    <row r="360" spans="1:3">
      <c r="A360" s="122"/>
      <c r="B360" s="122"/>
      <c r="C360" s="122"/>
    </row>
    <row r="361" spans="1:3">
      <c r="A361" s="122"/>
      <c r="B361" s="122"/>
      <c r="C361" s="122"/>
    </row>
    <row r="362" spans="1:3">
      <c r="A362" s="122"/>
      <c r="B362" s="122"/>
      <c r="C362" s="122"/>
    </row>
    <row r="363" spans="1:3">
      <c r="A363" s="122"/>
      <c r="B363" s="122"/>
      <c r="C363" s="122"/>
    </row>
    <row r="364" spans="1:3">
      <c r="A364" s="122"/>
      <c r="B364" s="122"/>
      <c r="C364" s="122"/>
    </row>
    <row r="365" spans="1:3">
      <c r="A365" s="122"/>
      <c r="B365" s="122"/>
      <c r="C365" s="122"/>
    </row>
    <row r="366" spans="1:3">
      <c r="A366" s="122"/>
      <c r="B366" s="122"/>
      <c r="C366" s="122"/>
    </row>
    <row r="367" spans="1:3">
      <c r="A367" s="122"/>
      <c r="B367" s="122"/>
      <c r="C367" s="122"/>
    </row>
    <row r="368" spans="1:3">
      <c r="A368" s="122"/>
      <c r="B368" s="122"/>
      <c r="C368" s="122"/>
    </row>
    <row r="369" spans="1:3">
      <c r="A369" s="122"/>
      <c r="B369" s="122"/>
      <c r="C369" s="122"/>
    </row>
    <row r="370" spans="1:3">
      <c r="A370" s="122"/>
      <c r="B370" s="122"/>
      <c r="C370" s="122"/>
    </row>
    <row r="371" spans="1:3">
      <c r="A371" s="122"/>
      <c r="B371" s="122"/>
      <c r="C371" s="122"/>
    </row>
    <row r="372" spans="1:3">
      <c r="A372" s="122"/>
      <c r="B372" s="122"/>
      <c r="C372" s="122"/>
    </row>
    <row r="373" spans="1:3">
      <c r="A373" s="122"/>
      <c r="B373" s="122"/>
      <c r="C373" s="122"/>
    </row>
    <row r="374" spans="1:3">
      <c r="A374" s="122"/>
      <c r="B374" s="122"/>
      <c r="C374" s="122"/>
    </row>
    <row r="375" spans="1:3">
      <c r="A375" s="122"/>
      <c r="B375" s="122"/>
      <c r="C375" s="122"/>
    </row>
    <row r="376" spans="1:3">
      <c r="A376" s="122"/>
      <c r="B376" s="122"/>
      <c r="C376" s="122"/>
    </row>
    <row r="377" spans="1:3">
      <c r="A377" s="122"/>
      <c r="B377" s="122"/>
      <c r="C377" s="122"/>
    </row>
    <row r="378" spans="1:3">
      <c r="A378" s="122"/>
      <c r="B378" s="122"/>
      <c r="C378" s="122"/>
    </row>
    <row r="379" spans="1:3">
      <c r="A379" s="122"/>
      <c r="B379" s="122"/>
      <c r="C379" s="122"/>
    </row>
    <row r="380" spans="1:3">
      <c r="A380" s="122"/>
      <c r="B380" s="122"/>
      <c r="C380" s="122"/>
    </row>
    <row r="381" spans="1:3">
      <c r="A381" s="122"/>
      <c r="B381" s="122"/>
      <c r="C381" s="122"/>
    </row>
    <row r="382" spans="1:3">
      <c r="A382" s="122"/>
      <c r="B382" s="122"/>
      <c r="C382" s="122"/>
    </row>
    <row r="383" spans="1:3">
      <c r="A383" s="122"/>
      <c r="B383" s="122"/>
      <c r="C383" s="122"/>
    </row>
    <row r="384" spans="1:3">
      <c r="A384" s="122"/>
      <c r="B384" s="122"/>
      <c r="C384" s="122"/>
    </row>
    <row r="385" spans="1:3">
      <c r="A385" s="122"/>
      <c r="B385" s="122"/>
      <c r="C385" s="122"/>
    </row>
    <row r="386" spans="1:3">
      <c r="A386" s="122"/>
      <c r="B386" s="122"/>
      <c r="C386" s="122"/>
    </row>
    <row r="387" spans="1:3">
      <c r="A387" s="122"/>
      <c r="B387" s="122"/>
      <c r="C387" s="122"/>
    </row>
    <row r="388" spans="1:3">
      <c r="A388" s="122"/>
      <c r="B388" s="122"/>
      <c r="C388" s="122"/>
    </row>
    <row r="389" spans="1:3">
      <c r="A389" s="122"/>
      <c r="B389" s="122"/>
      <c r="C389" s="122"/>
    </row>
    <row r="390" spans="1:3">
      <c r="A390" s="122"/>
      <c r="B390" s="122"/>
      <c r="C390" s="122"/>
    </row>
    <row r="391" spans="1:3">
      <c r="A391" s="122"/>
      <c r="B391" s="122"/>
      <c r="C391" s="122"/>
    </row>
    <row r="392" spans="1:3">
      <c r="A392" s="122"/>
      <c r="B392" s="122"/>
      <c r="C392" s="122"/>
    </row>
    <row r="393" spans="1:3">
      <c r="A393" s="122"/>
      <c r="B393" s="122"/>
      <c r="C393" s="122"/>
    </row>
    <row r="394" spans="1:3">
      <c r="A394" s="122"/>
      <c r="B394" s="122"/>
      <c r="C394" s="122"/>
    </row>
    <row r="395" spans="1:3">
      <c r="A395" s="122"/>
      <c r="B395" s="122"/>
      <c r="C395" s="122"/>
    </row>
    <row r="396" spans="1:3">
      <c r="A396" s="122"/>
      <c r="B396" s="122"/>
      <c r="C396" s="122"/>
    </row>
    <row r="397" spans="1:3">
      <c r="A397" s="122"/>
      <c r="B397" s="122"/>
      <c r="C397" s="122"/>
    </row>
    <row r="398" spans="1:3">
      <c r="A398" s="122"/>
      <c r="B398" s="122"/>
      <c r="C398" s="122"/>
    </row>
    <row r="399" spans="1:3">
      <c r="A399" s="122"/>
      <c r="B399" s="122"/>
      <c r="C399" s="122"/>
    </row>
    <row r="400" spans="1:3">
      <c r="A400" s="122"/>
      <c r="B400" s="122"/>
      <c r="C400" s="122"/>
    </row>
    <row r="401" spans="1:3">
      <c r="A401" s="122"/>
      <c r="B401" s="122"/>
      <c r="C401" s="122"/>
    </row>
    <row r="402" spans="1:3">
      <c r="A402" s="122"/>
      <c r="B402" s="122"/>
      <c r="C402" s="122"/>
    </row>
    <row r="403" spans="1:3">
      <c r="A403" s="122"/>
      <c r="B403" s="122"/>
      <c r="C403" s="122"/>
    </row>
    <row r="404" spans="1:3">
      <c r="A404" s="122"/>
      <c r="B404" s="122"/>
      <c r="C404" s="122"/>
    </row>
    <row r="405" spans="1:3">
      <c r="A405" s="122"/>
      <c r="B405" s="122"/>
      <c r="C405" s="122"/>
    </row>
    <row r="406" spans="1:3">
      <c r="A406" s="122"/>
      <c r="B406" s="122"/>
      <c r="C406" s="122"/>
    </row>
    <row r="407" spans="1:3">
      <c r="A407" s="122"/>
      <c r="B407" s="122"/>
      <c r="C407" s="122"/>
    </row>
    <row r="408" spans="1:3">
      <c r="A408" s="122"/>
      <c r="B408" s="122"/>
      <c r="C408" s="122"/>
    </row>
    <row r="409" spans="1:3">
      <c r="A409" s="122"/>
      <c r="B409" s="122"/>
      <c r="C409" s="122"/>
    </row>
    <row r="410" spans="1:3">
      <c r="A410" s="122"/>
      <c r="B410" s="122"/>
      <c r="C410" s="122"/>
    </row>
    <row r="411" spans="1:3">
      <c r="A411" s="122"/>
      <c r="B411" s="122"/>
      <c r="C411" s="122"/>
    </row>
    <row r="412" spans="1:3">
      <c r="A412" s="122"/>
      <c r="B412" s="122"/>
      <c r="C412" s="122"/>
    </row>
    <row r="413" spans="1:3">
      <c r="A413" s="122"/>
      <c r="B413" s="122"/>
      <c r="C413" s="122"/>
    </row>
    <row r="414" spans="1:3">
      <c r="A414" s="122"/>
      <c r="B414" s="122"/>
      <c r="C414" s="122"/>
    </row>
    <row r="415" spans="1:3">
      <c r="A415" s="122"/>
      <c r="B415" s="122"/>
      <c r="C415" s="122"/>
    </row>
    <row r="416" spans="1:3">
      <c r="A416" s="122"/>
      <c r="B416" s="122"/>
      <c r="C416" s="122"/>
    </row>
    <row r="417" spans="1:3">
      <c r="A417" s="122"/>
      <c r="B417" s="122"/>
      <c r="C417" s="122"/>
    </row>
    <row r="418" spans="1:3">
      <c r="A418" s="122"/>
      <c r="B418" s="122"/>
      <c r="C418" s="122"/>
    </row>
    <row r="419" spans="1:3">
      <c r="A419" s="122"/>
      <c r="B419" s="122"/>
      <c r="C419" s="122"/>
    </row>
    <row r="420" spans="1:3">
      <c r="A420" s="122"/>
      <c r="B420" s="122"/>
      <c r="C420" s="122"/>
    </row>
    <row r="421" spans="1:3">
      <c r="A421" s="122"/>
      <c r="B421" s="122"/>
      <c r="C421" s="122"/>
    </row>
    <row r="422" spans="1:3">
      <c r="A422" s="122"/>
      <c r="B422" s="122"/>
      <c r="C422" s="122"/>
    </row>
    <row r="423" spans="1:3">
      <c r="A423" s="122"/>
      <c r="B423" s="122"/>
      <c r="C423" s="122"/>
    </row>
    <row r="424" spans="1:3">
      <c r="A424" s="122"/>
      <c r="B424" s="122"/>
      <c r="C424" s="122"/>
    </row>
    <row r="425" spans="1:3">
      <c r="A425" s="122"/>
      <c r="B425" s="122"/>
      <c r="C425" s="122"/>
    </row>
    <row r="426" spans="1:3">
      <c r="A426" s="122"/>
      <c r="B426" s="122"/>
      <c r="C426" s="122"/>
    </row>
    <row r="427" spans="1:3">
      <c r="A427" s="122"/>
      <c r="B427" s="122"/>
      <c r="C427" s="122"/>
    </row>
    <row r="428" spans="1:3">
      <c r="A428" s="122"/>
      <c r="B428" s="122"/>
      <c r="C428" s="122"/>
    </row>
    <row r="429" spans="1:3">
      <c r="A429" s="122"/>
      <c r="B429" s="122"/>
      <c r="C429" s="122"/>
    </row>
    <row r="430" spans="1:3">
      <c r="A430" s="122"/>
      <c r="B430" s="122"/>
      <c r="C430" s="122"/>
    </row>
    <row r="431" spans="1:3">
      <c r="A431" s="122"/>
      <c r="B431" s="122"/>
      <c r="C431" s="122"/>
    </row>
    <row r="432" spans="1:3">
      <c r="A432" s="122"/>
      <c r="B432" s="122"/>
      <c r="C432" s="122"/>
    </row>
    <row r="433" spans="1:3">
      <c r="A433" s="122"/>
      <c r="B433" s="122"/>
      <c r="C433" s="122"/>
    </row>
    <row r="434" spans="1:3">
      <c r="A434" s="122"/>
      <c r="B434" s="122"/>
      <c r="C434" s="122"/>
    </row>
    <row r="435" spans="1:3">
      <c r="A435" s="122"/>
      <c r="B435" s="122"/>
      <c r="C435" s="122"/>
    </row>
    <row r="436" spans="1:3">
      <c r="A436" s="122"/>
      <c r="B436" s="122"/>
      <c r="C436" s="122"/>
    </row>
    <row r="437" spans="1:3">
      <c r="A437" s="122"/>
      <c r="B437" s="122"/>
      <c r="C437" s="122"/>
    </row>
    <row r="438" spans="1:3">
      <c r="A438" s="122"/>
      <c r="B438" s="122"/>
      <c r="C438" s="122"/>
    </row>
    <row r="439" spans="1:3">
      <c r="A439" s="122"/>
      <c r="B439" s="122"/>
      <c r="C439" s="122"/>
    </row>
    <row r="440" spans="1:3">
      <c r="A440" s="122"/>
      <c r="B440" s="122"/>
      <c r="C440" s="122"/>
    </row>
    <row r="441" spans="1:3">
      <c r="A441" s="122"/>
      <c r="B441" s="122"/>
      <c r="C441" s="122"/>
    </row>
    <row r="442" spans="1:3">
      <c r="A442" s="122"/>
      <c r="B442" s="122"/>
      <c r="C442" s="122"/>
    </row>
    <row r="443" spans="1:3">
      <c r="A443" s="122"/>
      <c r="B443" s="122"/>
      <c r="C443" s="122"/>
    </row>
    <row r="444" spans="1:3">
      <c r="A444" s="122"/>
      <c r="B444" s="122"/>
      <c r="C444" s="122"/>
    </row>
    <row r="445" spans="1:3">
      <c r="A445" s="122"/>
      <c r="B445" s="122"/>
      <c r="C445" s="122"/>
    </row>
    <row r="446" spans="1:3">
      <c r="A446" s="122"/>
      <c r="B446" s="122"/>
      <c r="C446" s="122"/>
    </row>
    <row r="447" spans="1:3">
      <c r="A447" s="122"/>
      <c r="B447" s="122"/>
      <c r="C447" s="122"/>
    </row>
    <row r="448" spans="1:3">
      <c r="A448" s="122"/>
      <c r="B448" s="122"/>
      <c r="C448" s="122"/>
    </row>
    <row r="449" spans="1:3">
      <c r="A449" s="122"/>
      <c r="B449" s="122"/>
      <c r="C449" s="122"/>
    </row>
    <row r="450" spans="1:3">
      <c r="A450" s="122"/>
      <c r="B450" s="122"/>
      <c r="C450" s="122"/>
    </row>
    <row r="451" spans="1:3">
      <c r="A451" s="122"/>
      <c r="B451" s="122"/>
      <c r="C451" s="122"/>
    </row>
    <row r="452" spans="1:3">
      <c r="A452" s="122"/>
      <c r="B452" s="122"/>
      <c r="C452" s="122"/>
    </row>
    <row r="453" spans="1:3">
      <c r="A453" s="122"/>
      <c r="B453" s="122"/>
      <c r="C453" s="122"/>
    </row>
    <row r="454" spans="1:3">
      <c r="A454" s="122"/>
      <c r="B454" s="122"/>
      <c r="C454" s="122"/>
    </row>
    <row r="455" spans="1:3">
      <c r="A455" s="122"/>
      <c r="B455" s="122"/>
      <c r="C455" s="122"/>
    </row>
    <row r="456" spans="1:3">
      <c r="A456" s="122"/>
      <c r="B456" s="122"/>
      <c r="C456" s="122"/>
    </row>
    <row r="457" spans="1:3">
      <c r="A457" s="122"/>
      <c r="B457" s="122"/>
      <c r="C457" s="122"/>
    </row>
    <row r="458" spans="1:3">
      <c r="A458" s="122"/>
      <c r="B458" s="122"/>
      <c r="C458" s="122"/>
    </row>
    <row r="459" spans="1:3">
      <c r="A459" s="122"/>
      <c r="B459" s="122"/>
      <c r="C459" s="122"/>
    </row>
    <row r="460" spans="1:3">
      <c r="A460" s="122"/>
      <c r="B460" s="122"/>
      <c r="C460" s="122"/>
    </row>
    <row r="461" spans="1:3">
      <c r="A461" s="122"/>
      <c r="B461" s="122"/>
      <c r="C461" s="122"/>
    </row>
    <row r="462" spans="1:3">
      <c r="A462" s="122"/>
      <c r="B462" s="122"/>
      <c r="C462" s="122"/>
    </row>
    <row r="463" spans="1:3">
      <c r="A463" s="122"/>
      <c r="B463" s="122"/>
      <c r="C463" s="122"/>
    </row>
    <row r="464" spans="1:3">
      <c r="A464" s="122"/>
      <c r="B464" s="122"/>
      <c r="C464" s="122"/>
    </row>
    <row r="465" spans="1:3">
      <c r="A465" s="122"/>
      <c r="B465" s="122"/>
      <c r="C465" s="122"/>
    </row>
    <row r="466" spans="1:3">
      <c r="A466" s="122"/>
      <c r="B466" s="122"/>
      <c r="C466" s="122"/>
    </row>
    <row r="467" spans="1:3">
      <c r="A467" s="122"/>
      <c r="B467" s="122"/>
      <c r="C467" s="122"/>
    </row>
    <row r="468" spans="1:3">
      <c r="A468" s="122"/>
      <c r="B468" s="122"/>
      <c r="C468" s="122"/>
    </row>
    <row r="469" spans="1:3">
      <c r="A469" s="122"/>
      <c r="B469" s="122"/>
      <c r="C469" s="122"/>
    </row>
    <row r="470" spans="1:3">
      <c r="A470" s="122"/>
      <c r="B470" s="122"/>
      <c r="C470" s="122"/>
    </row>
    <row r="471" spans="1:3">
      <c r="A471" s="122"/>
      <c r="B471" s="122"/>
      <c r="C471" s="122"/>
    </row>
    <row r="472" spans="1:3">
      <c r="A472" s="122"/>
      <c r="B472" s="122"/>
      <c r="C472" s="122"/>
    </row>
    <row r="473" spans="1:3">
      <c r="A473" s="122"/>
      <c r="B473" s="122"/>
      <c r="C473" s="122"/>
    </row>
    <row r="474" spans="1:3">
      <c r="A474" s="122"/>
      <c r="B474" s="122"/>
      <c r="C474" s="122"/>
    </row>
    <row r="475" spans="1:3">
      <c r="A475" s="122"/>
      <c r="B475" s="122"/>
      <c r="C475" s="122"/>
    </row>
    <row r="476" spans="1:3">
      <c r="A476" s="122"/>
      <c r="B476" s="122"/>
      <c r="C476" s="122"/>
    </row>
    <row r="477" spans="1:3">
      <c r="A477" s="122"/>
      <c r="B477" s="122"/>
      <c r="C477" s="122"/>
    </row>
    <row r="478" spans="1:3">
      <c r="A478" s="122"/>
      <c r="B478" s="122"/>
      <c r="C478" s="122"/>
    </row>
    <row r="479" spans="1:3">
      <c r="A479" s="122"/>
      <c r="B479" s="122"/>
      <c r="C479" s="122"/>
    </row>
    <row r="480" spans="1:3">
      <c r="A480" s="122"/>
      <c r="B480" s="122"/>
      <c r="C480" s="122"/>
    </row>
    <row r="481" spans="1:3">
      <c r="A481" s="122"/>
      <c r="B481" s="122"/>
      <c r="C481" s="122"/>
    </row>
    <row r="482" spans="1:3">
      <c r="A482" s="122"/>
      <c r="B482" s="122"/>
      <c r="C482" s="122"/>
    </row>
    <row r="483" spans="1:3">
      <c r="A483" s="122"/>
      <c r="B483" s="122"/>
      <c r="C483" s="122"/>
    </row>
    <row r="484" spans="1:3">
      <c r="A484" s="122"/>
      <c r="B484" s="122"/>
      <c r="C484" s="122"/>
    </row>
    <row r="485" spans="1:3">
      <c r="A485" s="122"/>
      <c r="B485" s="122"/>
      <c r="C485" s="122"/>
    </row>
    <row r="486" spans="1:3">
      <c r="A486" s="122"/>
      <c r="B486" s="122"/>
      <c r="C486" s="122"/>
    </row>
    <row r="487" spans="1:3">
      <c r="A487" s="122"/>
      <c r="B487" s="122"/>
      <c r="C487" s="122"/>
    </row>
    <row r="488" spans="1:3">
      <c r="A488" s="122"/>
      <c r="B488" s="122"/>
      <c r="C488" s="122"/>
    </row>
    <row r="489" spans="1:3">
      <c r="A489" s="122"/>
      <c r="B489" s="122"/>
      <c r="C489" s="122"/>
    </row>
    <row r="490" spans="1:3">
      <c r="A490" s="122"/>
      <c r="B490" s="122"/>
      <c r="C490" s="122"/>
    </row>
    <row r="491" spans="1:3">
      <c r="A491" s="122"/>
      <c r="B491" s="122"/>
      <c r="C491" s="122"/>
    </row>
    <row r="492" spans="1:3">
      <c r="A492" s="122"/>
      <c r="B492" s="122"/>
      <c r="C492" s="122"/>
    </row>
    <row r="493" spans="1:3">
      <c r="A493" s="122"/>
      <c r="B493" s="122"/>
      <c r="C493" s="122"/>
    </row>
    <row r="494" spans="1:3">
      <c r="A494" s="122"/>
      <c r="B494" s="122"/>
      <c r="C494" s="122"/>
    </row>
    <row r="495" spans="1:3">
      <c r="A495" s="122"/>
      <c r="B495" s="122"/>
      <c r="C495" s="122"/>
    </row>
    <row r="496" spans="1:3">
      <c r="A496" s="122"/>
      <c r="B496" s="122"/>
      <c r="C496" s="122"/>
    </row>
    <row r="497" spans="1:3">
      <c r="A497" s="122"/>
      <c r="B497" s="122"/>
      <c r="C497" s="122"/>
    </row>
    <row r="498" spans="1:3">
      <c r="A498" s="122"/>
      <c r="B498" s="122"/>
      <c r="C498" s="122"/>
    </row>
    <row r="499" spans="1:3">
      <c r="A499" s="122"/>
      <c r="B499" s="122"/>
      <c r="C499" s="122"/>
    </row>
    <row r="500" spans="1:3">
      <c r="A500" s="122"/>
      <c r="B500" s="122"/>
      <c r="C500" s="122"/>
    </row>
    <row r="501" spans="1:3">
      <c r="A501" s="122"/>
      <c r="B501" s="122"/>
      <c r="C501" s="122"/>
    </row>
    <row r="502" spans="1:3">
      <c r="A502" s="122"/>
      <c r="B502" s="122"/>
      <c r="C502" s="122"/>
    </row>
    <row r="503" spans="1:3">
      <c r="A503" s="122"/>
      <c r="B503" s="122"/>
      <c r="C503" s="122"/>
    </row>
    <row r="504" spans="1:3">
      <c r="A504" s="122"/>
      <c r="B504" s="122"/>
      <c r="C504" s="122"/>
    </row>
    <row r="505" spans="1:3">
      <c r="A505" s="122"/>
      <c r="B505" s="122"/>
      <c r="C505" s="122"/>
    </row>
    <row r="506" spans="1:3">
      <c r="A506" s="122"/>
      <c r="B506" s="122"/>
      <c r="C506" s="122"/>
    </row>
    <row r="507" spans="1:3">
      <c r="A507" s="122"/>
      <c r="B507" s="122"/>
      <c r="C507" s="122"/>
    </row>
    <row r="508" spans="1:3">
      <c r="A508" s="122"/>
      <c r="B508" s="122"/>
      <c r="C508" s="122"/>
    </row>
    <row r="509" spans="1:3">
      <c r="A509" s="122"/>
      <c r="B509" s="122"/>
      <c r="C509" s="122"/>
    </row>
    <row r="510" spans="1:3">
      <c r="A510" s="122"/>
      <c r="B510" s="122"/>
      <c r="C510" s="122"/>
    </row>
    <row r="511" spans="1:3">
      <c r="A511" s="122"/>
      <c r="B511" s="122"/>
      <c r="C511" s="122"/>
    </row>
    <row r="512" spans="1:3">
      <c r="A512" s="122"/>
      <c r="B512" s="122"/>
      <c r="C512" s="122"/>
    </row>
    <row r="513" spans="1:3">
      <c r="A513" s="122"/>
      <c r="B513" s="122"/>
      <c r="C513" s="122"/>
    </row>
    <row r="514" spans="1:3">
      <c r="A514" s="122"/>
      <c r="B514" s="122"/>
      <c r="C514" s="122"/>
    </row>
    <row r="515" spans="1:3">
      <c r="A515" s="122"/>
      <c r="B515" s="122"/>
      <c r="C515" s="122"/>
    </row>
    <row r="516" spans="1:3">
      <c r="A516" s="122"/>
      <c r="B516" s="122"/>
      <c r="C516" s="122"/>
    </row>
    <row r="517" spans="1:3">
      <c r="A517" s="122"/>
      <c r="B517" s="122"/>
      <c r="C517" s="122"/>
    </row>
    <row r="518" spans="1:3">
      <c r="A518" s="122"/>
      <c r="B518" s="122"/>
      <c r="C518" s="122"/>
    </row>
    <row r="519" spans="1:3">
      <c r="A519" s="122"/>
      <c r="B519" s="122"/>
      <c r="C519" s="122"/>
    </row>
    <row r="520" spans="1:3">
      <c r="A520" s="122"/>
      <c r="B520" s="122"/>
      <c r="C520" s="122"/>
    </row>
    <row r="521" spans="1:3">
      <c r="A521" s="122"/>
      <c r="B521" s="122"/>
      <c r="C521" s="122"/>
    </row>
    <row r="522" spans="1:3">
      <c r="A522" s="122"/>
      <c r="B522" s="122"/>
      <c r="C522" s="122"/>
    </row>
    <row r="523" spans="1:3">
      <c r="A523" s="122"/>
      <c r="B523" s="122"/>
      <c r="C523" s="122"/>
    </row>
    <row r="524" spans="1:3">
      <c r="A524" s="122"/>
      <c r="B524" s="122"/>
      <c r="C524" s="122"/>
    </row>
    <row r="525" spans="1:3">
      <c r="A525" s="122"/>
      <c r="B525" s="122"/>
      <c r="C525" s="122"/>
    </row>
    <row r="526" spans="1:3">
      <c r="A526" s="122"/>
      <c r="B526" s="122"/>
      <c r="C526" s="122"/>
    </row>
    <row r="527" spans="1:3">
      <c r="A527" s="122"/>
      <c r="B527" s="122"/>
      <c r="C527" s="122"/>
    </row>
    <row r="528" spans="1:3">
      <c r="A528" s="122"/>
      <c r="B528" s="122"/>
      <c r="C528" s="122"/>
    </row>
    <row r="529" spans="1:3">
      <c r="A529" s="122"/>
      <c r="B529" s="122"/>
      <c r="C529" s="122"/>
    </row>
    <row r="530" spans="1:3">
      <c r="A530" s="122"/>
      <c r="B530" s="122"/>
      <c r="C530" s="122"/>
    </row>
    <row r="531" spans="1:3">
      <c r="A531" s="122"/>
      <c r="B531" s="122"/>
      <c r="C531" s="122"/>
    </row>
    <row r="532" spans="1:3">
      <c r="A532" s="122"/>
      <c r="B532" s="122"/>
      <c r="C532" s="122"/>
    </row>
    <row r="533" spans="1:3">
      <c r="A533" s="122"/>
      <c r="B533" s="122"/>
      <c r="C533" s="122"/>
    </row>
    <row r="534" spans="1:3">
      <c r="A534" s="122"/>
      <c r="B534" s="122"/>
      <c r="C534" s="122"/>
    </row>
    <row r="535" spans="1:3">
      <c r="A535" s="122"/>
      <c r="B535" s="122"/>
      <c r="C535" s="122"/>
    </row>
    <row r="536" spans="1:3">
      <c r="A536" s="122"/>
      <c r="B536" s="122"/>
      <c r="C536" s="122"/>
    </row>
    <row r="537" spans="1:3">
      <c r="A537" s="122"/>
      <c r="B537" s="122"/>
      <c r="C537" s="122"/>
    </row>
    <row r="538" spans="1:3">
      <c r="A538" s="122"/>
      <c r="B538" s="122"/>
      <c r="C538" s="122"/>
    </row>
    <row r="539" spans="1:3">
      <c r="A539" s="122"/>
      <c r="B539" s="122"/>
      <c r="C539" s="122"/>
    </row>
    <row r="540" spans="1:3">
      <c r="A540" s="122"/>
      <c r="B540" s="122"/>
      <c r="C540" s="122"/>
    </row>
    <row r="541" spans="1:3">
      <c r="A541" s="122"/>
      <c r="B541" s="122"/>
      <c r="C541" s="122"/>
    </row>
    <row r="542" spans="1:3">
      <c r="A542" s="122"/>
      <c r="B542" s="122"/>
      <c r="C542" s="122"/>
    </row>
    <row r="543" spans="1:3">
      <c r="A543" s="122"/>
      <c r="B543" s="122"/>
      <c r="C543" s="122"/>
    </row>
    <row r="544" spans="1:3">
      <c r="A544" s="122"/>
      <c r="B544" s="122"/>
      <c r="C544" s="122"/>
    </row>
    <row r="545" spans="1:3">
      <c r="A545" s="122"/>
      <c r="B545" s="122"/>
      <c r="C545" s="122"/>
    </row>
    <row r="546" spans="1:3">
      <c r="A546" s="122"/>
      <c r="B546" s="122"/>
      <c r="C546" s="122"/>
    </row>
    <row r="547" spans="1:3">
      <c r="A547" s="122"/>
      <c r="B547" s="122"/>
      <c r="C547" s="122"/>
    </row>
    <row r="548" spans="1:3">
      <c r="A548" s="122"/>
      <c r="B548" s="122"/>
      <c r="C548" s="122"/>
    </row>
    <row r="549" spans="1:3">
      <c r="A549" s="122"/>
      <c r="B549" s="122"/>
      <c r="C549" s="122"/>
    </row>
    <row r="550" spans="1:3">
      <c r="A550" s="122"/>
      <c r="B550" s="122"/>
      <c r="C550" s="122"/>
    </row>
    <row r="551" spans="1:3">
      <c r="A551" s="122"/>
      <c r="B551" s="122"/>
      <c r="C551" s="122"/>
    </row>
    <row r="552" spans="1:3">
      <c r="A552" s="122"/>
      <c r="B552" s="122"/>
      <c r="C552" s="122"/>
    </row>
    <row r="553" spans="1:3">
      <c r="A553" s="122"/>
      <c r="B553" s="122"/>
      <c r="C553" s="122"/>
    </row>
    <row r="554" spans="1:3">
      <c r="A554" s="122"/>
      <c r="B554" s="122"/>
      <c r="C554" s="122"/>
    </row>
    <row r="555" spans="1:3">
      <c r="A555" s="122"/>
      <c r="B555" s="122"/>
      <c r="C555" s="122"/>
    </row>
    <row r="556" spans="1:3">
      <c r="A556" s="122"/>
      <c r="B556" s="122"/>
      <c r="C556" s="122"/>
    </row>
    <row r="557" spans="1:3">
      <c r="A557" s="122"/>
      <c r="B557" s="122"/>
      <c r="C557" s="122"/>
    </row>
    <row r="558" spans="1:3">
      <c r="A558" s="122"/>
      <c r="B558" s="122"/>
      <c r="C558" s="122"/>
    </row>
    <row r="559" spans="1:3">
      <c r="A559" s="122"/>
      <c r="B559" s="122"/>
      <c r="C559" s="122"/>
    </row>
    <row r="560" spans="1:3">
      <c r="A560" s="122"/>
      <c r="B560" s="122"/>
      <c r="C560" s="122"/>
    </row>
    <row r="561" spans="1:3">
      <c r="A561" s="122"/>
      <c r="B561" s="122"/>
      <c r="C561" s="122"/>
    </row>
    <row r="562" spans="1:3">
      <c r="A562" s="122"/>
      <c r="B562" s="122"/>
      <c r="C562" s="122"/>
    </row>
    <row r="563" spans="1:3">
      <c r="A563" s="122"/>
      <c r="B563" s="122"/>
      <c r="C563" s="122"/>
    </row>
    <row r="564" spans="1:3">
      <c r="A564" s="122"/>
      <c r="B564" s="122"/>
      <c r="C564" s="122"/>
    </row>
    <row r="565" spans="1:3">
      <c r="A565" s="122"/>
      <c r="B565" s="122"/>
      <c r="C565" s="122"/>
    </row>
    <row r="566" spans="1:3">
      <c r="A566" s="122"/>
      <c r="B566" s="122"/>
      <c r="C566" s="122"/>
    </row>
    <row r="567" spans="1:3">
      <c r="A567" s="122"/>
      <c r="B567" s="122"/>
      <c r="C567" s="122"/>
    </row>
    <row r="568" spans="1:3">
      <c r="A568" s="122"/>
      <c r="B568" s="122"/>
      <c r="C568" s="122"/>
    </row>
    <row r="569" spans="1:3">
      <c r="A569" s="122"/>
      <c r="B569" s="122"/>
      <c r="C569" s="122"/>
    </row>
    <row r="570" spans="1:3">
      <c r="A570" s="122"/>
      <c r="B570" s="122"/>
      <c r="C570" s="122"/>
    </row>
    <row r="571" spans="1:3">
      <c r="A571" s="122"/>
      <c r="B571" s="122"/>
      <c r="C571" s="122"/>
    </row>
    <row r="572" spans="1:3">
      <c r="A572" s="122"/>
      <c r="B572" s="122"/>
      <c r="C572" s="122"/>
    </row>
    <row r="573" spans="1:3">
      <c r="A573" s="122"/>
      <c r="B573" s="122"/>
      <c r="C573" s="122"/>
    </row>
    <row r="574" spans="1:3">
      <c r="A574" s="122"/>
      <c r="B574" s="122"/>
      <c r="C574" s="122"/>
    </row>
    <row r="575" spans="1:3">
      <c r="A575" s="122"/>
      <c r="B575" s="122"/>
      <c r="C575" s="122"/>
    </row>
    <row r="576" spans="1:3">
      <c r="A576" s="122"/>
      <c r="B576" s="122"/>
      <c r="C576" s="122"/>
    </row>
    <row r="577" spans="1:3">
      <c r="A577" s="122"/>
      <c r="B577" s="122"/>
      <c r="C577" s="122"/>
    </row>
    <row r="578" spans="1:3">
      <c r="A578" s="122"/>
      <c r="B578" s="122"/>
      <c r="C578" s="122"/>
    </row>
    <row r="579" spans="1:3">
      <c r="A579" s="122"/>
      <c r="B579" s="122"/>
      <c r="C579" s="122"/>
    </row>
    <row r="580" spans="1:3">
      <c r="A580" s="122"/>
      <c r="B580" s="122"/>
      <c r="C580" s="122"/>
    </row>
    <row r="581" spans="1:3">
      <c r="A581" s="122"/>
      <c r="B581" s="122"/>
      <c r="C581" s="122"/>
    </row>
    <row r="582" spans="1:3">
      <c r="A582" s="122"/>
      <c r="B582" s="122"/>
      <c r="C582" s="122"/>
    </row>
    <row r="583" spans="1:3">
      <c r="A583" s="122"/>
      <c r="B583" s="122"/>
      <c r="C583" s="122"/>
    </row>
    <row r="584" spans="1:3">
      <c r="A584" s="122"/>
      <c r="B584" s="122"/>
      <c r="C584" s="122"/>
    </row>
    <row r="585" spans="1:3">
      <c r="A585" s="122"/>
      <c r="B585" s="122"/>
      <c r="C585" s="122"/>
    </row>
    <row r="586" spans="1:3">
      <c r="A586" s="122"/>
      <c r="B586" s="122"/>
      <c r="C586" s="122"/>
    </row>
    <row r="587" spans="1:3">
      <c r="A587" s="122"/>
      <c r="B587" s="122"/>
      <c r="C587" s="122"/>
    </row>
    <row r="588" spans="1:3">
      <c r="A588" s="122"/>
      <c r="B588" s="122"/>
      <c r="C588" s="122"/>
    </row>
    <row r="589" spans="1:3">
      <c r="A589" s="122"/>
      <c r="B589" s="122"/>
      <c r="C589" s="122"/>
    </row>
    <row r="590" spans="1:3">
      <c r="A590" s="122"/>
      <c r="B590" s="122"/>
      <c r="C590" s="122"/>
    </row>
    <row r="591" spans="1:3">
      <c r="A591" s="122"/>
      <c r="B591" s="122"/>
      <c r="C591" s="122"/>
    </row>
    <row r="592" spans="1:3">
      <c r="A592" s="122"/>
      <c r="B592" s="122"/>
      <c r="C592" s="122"/>
    </row>
    <row r="593" spans="1:3">
      <c r="A593" s="122"/>
      <c r="B593" s="122"/>
      <c r="C593" s="122"/>
    </row>
    <row r="594" spans="1:3">
      <c r="A594" s="122"/>
      <c r="B594" s="122"/>
      <c r="C594" s="122"/>
    </row>
    <row r="595" spans="1:3">
      <c r="A595" s="122"/>
      <c r="B595" s="122"/>
      <c r="C595" s="122"/>
    </row>
    <row r="596" spans="1:3">
      <c r="A596" s="122"/>
      <c r="B596" s="122"/>
      <c r="C596" s="122"/>
    </row>
    <row r="597" spans="1:3">
      <c r="A597" s="122"/>
      <c r="B597" s="122"/>
      <c r="C597" s="122"/>
    </row>
    <row r="598" spans="1:3">
      <c r="A598" s="122"/>
      <c r="B598" s="122"/>
      <c r="C598" s="122"/>
    </row>
    <row r="599" spans="1:3">
      <c r="A599" s="122"/>
      <c r="B599" s="122"/>
      <c r="C599" s="122"/>
    </row>
    <row r="600" spans="1:3">
      <c r="A600" s="122"/>
      <c r="B600" s="122"/>
      <c r="C600" s="122"/>
    </row>
    <row r="601" spans="1:3">
      <c r="A601" s="122"/>
      <c r="B601" s="122"/>
      <c r="C601" s="122"/>
    </row>
    <row r="602" spans="1:3">
      <c r="A602" s="122"/>
      <c r="B602" s="122"/>
      <c r="C602" s="122"/>
    </row>
    <row r="603" spans="1:3">
      <c r="A603" s="122"/>
      <c r="B603" s="122"/>
      <c r="C603" s="122"/>
    </row>
    <row r="604" spans="1:3">
      <c r="A604" s="122"/>
      <c r="B604" s="122"/>
      <c r="C604" s="122"/>
    </row>
    <row r="605" spans="1:3">
      <c r="A605" s="122"/>
      <c r="B605" s="122"/>
      <c r="C605" s="122"/>
    </row>
    <row r="606" spans="1:3">
      <c r="A606" s="122"/>
      <c r="B606" s="122"/>
      <c r="C606" s="122"/>
    </row>
    <row r="607" spans="1:3">
      <c r="A607" s="122"/>
      <c r="B607" s="122"/>
      <c r="C607" s="122"/>
    </row>
    <row r="608" spans="1:3">
      <c r="A608" s="122"/>
      <c r="B608" s="122"/>
      <c r="C608" s="122"/>
    </row>
    <row r="609" spans="1:3">
      <c r="A609" s="122"/>
      <c r="B609" s="122"/>
      <c r="C609" s="122"/>
    </row>
    <row r="610" spans="1:3">
      <c r="A610" s="122"/>
      <c r="B610" s="122"/>
      <c r="C610" s="122"/>
    </row>
    <row r="611" spans="1:3">
      <c r="A611" s="122"/>
      <c r="B611" s="122"/>
      <c r="C611" s="122"/>
    </row>
    <row r="612" spans="1:3">
      <c r="A612" s="122"/>
      <c r="B612" s="122"/>
      <c r="C612" s="122"/>
    </row>
    <row r="613" spans="1:3">
      <c r="A613" s="122"/>
      <c r="B613" s="122"/>
      <c r="C613" s="122"/>
    </row>
    <row r="614" spans="1:3">
      <c r="A614" s="122"/>
      <c r="B614" s="122"/>
      <c r="C614" s="122"/>
    </row>
    <row r="615" spans="1:3">
      <c r="A615" s="122"/>
      <c r="B615" s="122"/>
      <c r="C615" s="122"/>
    </row>
    <row r="616" spans="1:3">
      <c r="A616" s="122"/>
      <c r="B616" s="122"/>
      <c r="C616" s="122"/>
    </row>
    <row r="617" spans="1:3">
      <c r="A617" s="122"/>
      <c r="B617" s="122"/>
      <c r="C617" s="122"/>
    </row>
    <row r="618" spans="1:3">
      <c r="A618" s="122"/>
      <c r="B618" s="122"/>
      <c r="C618" s="122"/>
    </row>
    <row r="619" spans="1:3">
      <c r="A619" s="122"/>
      <c r="B619" s="122"/>
      <c r="C619" s="122"/>
    </row>
    <row r="620" spans="1:3">
      <c r="A620" s="122"/>
      <c r="B620" s="122"/>
      <c r="C620" s="122"/>
    </row>
    <row r="621" spans="1:3">
      <c r="A621" s="122"/>
      <c r="B621" s="122"/>
      <c r="C621" s="122"/>
    </row>
    <row r="622" spans="1:3">
      <c r="A622" s="122"/>
      <c r="B622" s="122"/>
      <c r="C622" s="122"/>
    </row>
    <row r="623" spans="1:3">
      <c r="A623" s="122"/>
      <c r="B623" s="122"/>
      <c r="C623" s="122"/>
    </row>
    <row r="624" spans="1:3">
      <c r="A624" s="122"/>
      <c r="B624" s="122"/>
      <c r="C624" s="122"/>
    </row>
    <row r="625" spans="1:3">
      <c r="A625" s="122"/>
      <c r="B625" s="122"/>
      <c r="C625" s="122"/>
    </row>
    <row r="626" spans="1:3">
      <c r="A626" s="122"/>
      <c r="B626" s="122"/>
      <c r="C626" s="122"/>
    </row>
    <row r="627" spans="1:3">
      <c r="A627" s="122"/>
      <c r="B627" s="122"/>
      <c r="C627" s="122"/>
    </row>
    <row r="628" spans="1:3">
      <c r="A628" s="122"/>
      <c r="B628" s="122"/>
      <c r="C628" s="122"/>
    </row>
    <row r="629" spans="1:3">
      <c r="A629" s="122"/>
      <c r="B629" s="122"/>
      <c r="C629" s="122"/>
    </row>
    <row r="630" spans="1:3">
      <c r="A630" s="122"/>
      <c r="B630" s="122"/>
      <c r="C630" s="122"/>
    </row>
    <row r="631" spans="1:3">
      <c r="A631" s="122"/>
      <c r="B631" s="122"/>
      <c r="C631" s="122"/>
    </row>
    <row r="632" spans="1:3">
      <c r="A632" s="122"/>
      <c r="B632" s="122"/>
      <c r="C632" s="122"/>
    </row>
    <row r="633" spans="1:3">
      <c r="A633" s="122"/>
      <c r="B633" s="122"/>
      <c r="C633" s="122"/>
    </row>
    <row r="634" spans="1:3">
      <c r="A634" s="122"/>
      <c r="B634" s="122"/>
      <c r="C634" s="122"/>
    </row>
    <row r="635" spans="1:3">
      <c r="A635" s="122"/>
      <c r="B635" s="122"/>
      <c r="C635" s="122"/>
    </row>
    <row r="636" spans="1:3">
      <c r="A636" s="122"/>
      <c r="B636" s="122"/>
      <c r="C636" s="122"/>
    </row>
    <row r="637" spans="1:3">
      <c r="A637" s="122"/>
      <c r="B637" s="122"/>
      <c r="C637" s="122"/>
    </row>
    <row r="638" spans="1:3">
      <c r="A638" s="122"/>
      <c r="B638" s="122"/>
      <c r="C638" s="122"/>
    </row>
    <row r="639" spans="1:3">
      <c r="A639" s="122"/>
      <c r="B639" s="122"/>
      <c r="C639" s="122"/>
    </row>
    <row r="640" spans="1:3">
      <c r="A640" s="122"/>
      <c r="B640" s="122"/>
      <c r="C640" s="122"/>
    </row>
    <row r="641" spans="1:3">
      <c r="A641" s="122"/>
      <c r="B641" s="122"/>
      <c r="C641" s="122"/>
    </row>
    <row r="642" spans="1:3">
      <c r="A642" s="122"/>
      <c r="B642" s="122"/>
      <c r="C642" s="122"/>
    </row>
    <row r="643" spans="1:3">
      <c r="A643" s="122"/>
      <c r="B643" s="122"/>
      <c r="C643" s="122"/>
    </row>
    <row r="644" spans="1:3">
      <c r="A644" s="122"/>
      <c r="B644" s="122"/>
      <c r="C644" s="122"/>
    </row>
    <row r="645" spans="1:3">
      <c r="A645" s="122"/>
      <c r="B645" s="122"/>
      <c r="C645" s="122"/>
    </row>
    <row r="646" spans="1:3">
      <c r="A646" s="122"/>
      <c r="B646" s="122"/>
      <c r="C646" s="122"/>
    </row>
    <row r="647" spans="1:3">
      <c r="A647" s="122"/>
      <c r="B647" s="122"/>
      <c r="C647" s="122"/>
    </row>
    <row r="648" spans="1:3">
      <c r="A648" s="122"/>
      <c r="B648" s="122"/>
      <c r="C648" s="122"/>
    </row>
    <row r="649" spans="1:3">
      <c r="A649" s="122"/>
      <c r="B649" s="122"/>
      <c r="C649" s="122"/>
    </row>
    <row r="650" spans="1:3">
      <c r="A650" s="122"/>
      <c r="B650" s="122"/>
      <c r="C650" s="122"/>
    </row>
    <row r="651" spans="1:3">
      <c r="A651" s="122"/>
      <c r="B651" s="122"/>
      <c r="C651" s="122"/>
    </row>
    <row r="652" spans="1:3">
      <c r="A652" s="122"/>
      <c r="B652" s="122"/>
      <c r="C652" s="122"/>
    </row>
    <row r="653" spans="1:3">
      <c r="A653" s="122"/>
      <c r="B653" s="122"/>
      <c r="C653" s="122"/>
    </row>
    <row r="654" spans="1:3">
      <c r="A654" s="122"/>
      <c r="B654" s="122"/>
      <c r="C654" s="122"/>
    </row>
    <row r="655" spans="1:3">
      <c r="A655" s="122"/>
      <c r="B655" s="122"/>
      <c r="C655" s="122"/>
    </row>
    <row r="656" spans="1:3">
      <c r="A656" s="122"/>
      <c r="B656" s="122"/>
      <c r="C656" s="122"/>
    </row>
    <row r="657" spans="1:3">
      <c r="A657" s="122"/>
      <c r="B657" s="122"/>
      <c r="C657" s="122"/>
    </row>
    <row r="658" spans="1:3">
      <c r="A658" s="122"/>
      <c r="B658" s="122"/>
      <c r="C658" s="122"/>
    </row>
    <row r="659" spans="1:3">
      <c r="A659" s="122"/>
      <c r="B659" s="122"/>
      <c r="C659" s="122"/>
    </row>
    <row r="660" spans="1:3">
      <c r="A660" s="122"/>
      <c r="B660" s="122"/>
      <c r="C660" s="122"/>
    </row>
    <row r="661" spans="1:3">
      <c r="A661" s="122"/>
      <c r="B661" s="122"/>
      <c r="C661" s="122"/>
    </row>
    <row r="662" spans="1:3">
      <c r="A662" s="122"/>
      <c r="B662" s="122"/>
      <c r="C662" s="122"/>
    </row>
    <row r="663" spans="1:3">
      <c r="A663" s="122"/>
      <c r="B663" s="122"/>
      <c r="C663" s="122"/>
    </row>
    <row r="664" spans="1:3">
      <c r="A664" s="122"/>
      <c r="B664" s="122"/>
      <c r="C664" s="122"/>
    </row>
    <row r="665" spans="1:3">
      <c r="A665" s="122"/>
      <c r="B665" s="122"/>
      <c r="C665" s="122"/>
    </row>
    <row r="666" spans="1:3">
      <c r="A666" s="122"/>
      <c r="B666" s="122"/>
      <c r="C666" s="122"/>
    </row>
    <row r="667" spans="1:3">
      <c r="A667" s="122"/>
      <c r="B667" s="122"/>
      <c r="C667" s="122"/>
    </row>
    <row r="668" spans="1:3">
      <c r="A668" s="122"/>
      <c r="B668" s="122"/>
      <c r="C668" s="122"/>
    </row>
    <row r="669" spans="1:3">
      <c r="A669" s="122"/>
      <c r="B669" s="122"/>
      <c r="C669" s="122"/>
    </row>
    <row r="670" spans="1:3">
      <c r="A670" s="122"/>
      <c r="B670" s="122"/>
      <c r="C670" s="122"/>
    </row>
    <row r="671" spans="1:3">
      <c r="A671" s="122"/>
      <c r="B671" s="122"/>
      <c r="C671" s="122"/>
    </row>
    <row r="672" spans="1:3">
      <c r="A672" s="122"/>
      <c r="B672" s="122"/>
      <c r="C672" s="122"/>
    </row>
    <row r="673" spans="1:3">
      <c r="A673" s="122"/>
      <c r="B673" s="122"/>
      <c r="C673" s="122"/>
    </row>
  </sheetData>
  <sheetProtection password="95C1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4">
    <dataValidation type="list" allowBlank="1" showInputMessage="1" showErrorMessage="1" sqref="B8">
      <formula1>"a,b,c,d,e,f,g,h,i,j,"</formula1>
    </dataValidation>
    <dataValidation type="list" allowBlank="1" showInputMessage="1" showErrorMessage="1" sqref="B9">
      <formula1>"1,2,3,4,5,"</formula1>
    </dataValidation>
    <dataValidation type="list" allowBlank="1" showInputMessage="1" showErrorMessage="1" sqref="B4">
      <formula1>"1,2,3,4,5,6,7"</formula1>
    </dataValidation>
    <dataValidation type="list" allowBlank="1" showInputMessage="1" showErrorMessage="1" sqref="B7">
      <formula1>"Ja,Nei"</formula1>
    </dataValidation>
  </dataValidations>
  <pageMargins left="0.5" right="0.3" top="0.7" bottom="0.7" header="0.5" footer="0.5"/>
  <pageSetup paperSize="9" scale="60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H312"/>
  <sheetViews>
    <sheetView workbookViewId="0">
      <selection activeCell="D83" sqref="D83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233" t="s">
        <v>222</v>
      </c>
      <c r="C4" s="34">
        <v>0</v>
      </c>
      <c r="D4" s="34">
        <v>0</v>
      </c>
      <c r="E4" s="34">
        <v>0</v>
      </c>
      <c r="F4" s="34">
        <v>0</v>
      </c>
      <c r="G4" s="175">
        <v>0</v>
      </c>
      <c r="H4" s="175">
        <v>0</v>
      </c>
      <c r="I4" s="176">
        <v>0</v>
      </c>
    </row>
    <row r="5" spans="1:9">
      <c r="A5" s="73"/>
      <c r="B5" s="192" t="s">
        <v>223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94</v>
      </c>
      <c r="C6" s="35">
        <v>15</v>
      </c>
      <c r="D6" s="35">
        <v>15</v>
      </c>
      <c r="E6" s="35">
        <v>15</v>
      </c>
      <c r="F6" s="35">
        <v>15</v>
      </c>
      <c r="G6" s="35">
        <v>15</v>
      </c>
      <c r="H6" s="35">
        <v>15</v>
      </c>
      <c r="I6" s="98">
        <v>15</v>
      </c>
    </row>
    <row r="7" spans="1:9">
      <c r="A7" s="73"/>
      <c r="B7" s="21" t="s">
        <v>96</v>
      </c>
      <c r="C7" s="35">
        <v>15</v>
      </c>
      <c r="D7" s="35">
        <v>15</v>
      </c>
      <c r="E7" s="35">
        <v>15</v>
      </c>
      <c r="F7" s="35">
        <v>15</v>
      </c>
      <c r="G7" s="35">
        <v>15</v>
      </c>
      <c r="H7" s="35">
        <v>15</v>
      </c>
      <c r="I7" s="98">
        <v>15</v>
      </c>
    </row>
    <row r="8" spans="1:9">
      <c r="A8" s="73" t="s">
        <v>48</v>
      </c>
      <c r="B8" s="5" t="s">
        <v>180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</row>
    <row r="9" spans="1:9">
      <c r="A9" s="73"/>
      <c r="B9" s="21" t="s">
        <v>181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</row>
    <row r="10" spans="1:9">
      <c r="A10" s="73"/>
      <c r="B10" s="3" t="s">
        <v>97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</row>
    <row r="11" spans="1:9">
      <c r="A11" s="73" t="s">
        <v>62</v>
      </c>
      <c r="B11" s="21" t="s">
        <v>89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90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/>
      <c r="B13" s="192" t="s">
        <v>217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73" t="s">
        <v>154</v>
      </c>
      <c r="B14" s="21" t="s">
        <v>89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90"/>
      <c r="B15" s="5" t="s">
        <v>91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97">
        <v>0</v>
      </c>
    </row>
    <row r="16" spans="1:9">
      <c r="A16" s="5"/>
      <c r="B16" s="21" t="s">
        <v>92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14">
        <v>0</v>
      </c>
    </row>
    <row r="17" spans="1:10">
      <c r="A17" s="73" t="s">
        <v>152</v>
      </c>
      <c r="B17" s="21" t="s">
        <v>89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90"/>
      <c r="B18" s="5" t="s">
        <v>91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97">
        <v>0</v>
      </c>
    </row>
    <row r="19" spans="1:10">
      <c r="A19" s="74"/>
      <c r="B19" s="33" t="s">
        <v>92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00">
        <v>0</v>
      </c>
    </row>
    <row r="20" spans="1:10">
      <c r="A20" s="5"/>
      <c r="B20" s="21"/>
      <c r="C20" s="15"/>
      <c r="D20" s="15"/>
      <c r="E20" s="15"/>
      <c r="F20" s="15"/>
      <c r="G20" s="15"/>
      <c r="H20" s="15"/>
      <c r="I20" s="15"/>
    </row>
    <row r="21" spans="1:10">
      <c r="A21" s="1"/>
      <c r="B21" s="2"/>
      <c r="C21" s="1"/>
      <c r="D21" s="1"/>
      <c r="E21" s="1"/>
      <c r="F21" s="1"/>
      <c r="G21" s="1"/>
      <c r="H21" s="1"/>
      <c r="I21" s="1"/>
    </row>
    <row r="22" spans="1:10">
      <c r="A22" s="66"/>
      <c r="B22" s="41" t="s">
        <v>153</v>
      </c>
      <c r="C22" s="42"/>
      <c r="D22" s="42"/>
      <c r="E22" s="68"/>
      <c r="F22" s="5"/>
      <c r="G22" s="5"/>
      <c r="H22" s="1"/>
      <c r="I22" s="1"/>
    </row>
    <row r="23" spans="1:10" ht="15">
      <c r="A23" s="73" t="s">
        <v>47</v>
      </c>
      <c r="B23" s="42" t="s">
        <v>93</v>
      </c>
      <c r="C23" s="44">
        <f>IF((Satser!I23+Satser!I24*0.6)&lt;250,(Satser!I23+Satser!I24*0.6),250)</f>
        <v>0</v>
      </c>
      <c r="D23" s="44">
        <f>HLOOKUP(Utslag!B4,AKkorn2,2)</f>
        <v>0</v>
      </c>
      <c r="E23" s="80">
        <f t="shared" ref="E23:E34" si="0">C23*D23</f>
        <v>0</v>
      </c>
      <c r="F23" s="37"/>
      <c r="G23" s="5"/>
      <c r="H23" s="24" t="s">
        <v>47</v>
      </c>
      <c r="I23" s="23">
        <f>Utslag!B32</f>
        <v>0</v>
      </c>
      <c r="J23" s="25" t="s">
        <v>3</v>
      </c>
    </row>
    <row r="24" spans="1:10" ht="15">
      <c r="A24" s="73"/>
      <c r="B24" s="33" t="s">
        <v>87</v>
      </c>
      <c r="C24" s="38">
        <f>IF(C23=250,IF((I23+I24*0.6)&gt;250,(I23+I24*0.6)-250,0),0)</f>
        <v>0</v>
      </c>
      <c r="D24" s="38">
        <f>HLOOKUP(Utslag!B4,AKkorn2,3)</f>
        <v>0</v>
      </c>
      <c r="E24" s="80">
        <f t="shared" si="0"/>
        <v>0</v>
      </c>
      <c r="F24" s="37"/>
      <c r="G24" s="5"/>
      <c r="H24" s="24" t="s">
        <v>52</v>
      </c>
      <c r="I24" s="23">
        <f>Utslag!B31</f>
        <v>0</v>
      </c>
      <c r="J24" s="25" t="s">
        <v>3</v>
      </c>
    </row>
    <row r="25" spans="1:10">
      <c r="A25" s="73" t="s">
        <v>50</v>
      </c>
      <c r="B25" s="62" t="s">
        <v>94</v>
      </c>
      <c r="C25" s="38">
        <f>IF((Utslag!B30)&lt;150,(Utslag!B30),150)</f>
        <v>0</v>
      </c>
      <c r="D25" s="44">
        <f>HLOOKUP(Utslag!B4,AKkorn2,4)</f>
        <v>15</v>
      </c>
      <c r="E25" s="80">
        <f t="shared" si="0"/>
        <v>0</v>
      </c>
      <c r="F25" s="37"/>
      <c r="G25" s="5"/>
      <c r="H25" s="1"/>
      <c r="I25" s="1"/>
    </row>
    <row r="26" spans="1:10">
      <c r="A26" s="73"/>
      <c r="B26" s="33" t="s">
        <v>96</v>
      </c>
      <c r="C26" s="38" t="b">
        <f>IF((Utslag!B30)&gt;150,(Utslag!B30)-150)</f>
        <v>0</v>
      </c>
      <c r="D26" s="38">
        <f>HLOOKUP(Utslag!B4,AKkorn2,5)</f>
        <v>15</v>
      </c>
      <c r="E26" s="80">
        <f t="shared" si="0"/>
        <v>0</v>
      </c>
      <c r="F26" s="37"/>
      <c r="G26" s="5"/>
      <c r="H26" s="1"/>
      <c r="I26" s="1"/>
    </row>
    <row r="27" spans="1:10">
      <c r="A27" s="73" t="s">
        <v>48</v>
      </c>
      <c r="B27" s="42" t="s">
        <v>180</v>
      </c>
      <c r="C27" s="44">
        <f>IF((Utslag!B29)&lt;400,(Utslag!B29),400)</f>
        <v>0</v>
      </c>
      <c r="D27" s="44">
        <f>HLOOKUP(Utslag!B4,AKkorn2,6)</f>
        <v>0</v>
      </c>
      <c r="E27" s="80">
        <f t="shared" si="0"/>
        <v>0</v>
      </c>
      <c r="F27" s="37"/>
      <c r="G27" s="5"/>
      <c r="H27" s="1"/>
    </row>
    <row r="28" spans="1:10">
      <c r="A28" s="73"/>
      <c r="B28" s="21" t="s">
        <v>181</v>
      </c>
      <c r="C28" s="37">
        <f>IF(AND(C27=400,C29=0),Utslag!B29-400,IF(C29&gt;0,400,0))</f>
        <v>0</v>
      </c>
      <c r="D28" s="44">
        <f>HLOOKUP(Utslag!B4,AKkorn2,7)</f>
        <v>0</v>
      </c>
      <c r="E28" s="80">
        <f>C28*D28</f>
        <v>0</v>
      </c>
      <c r="F28" s="37"/>
      <c r="G28" s="5"/>
      <c r="H28" s="1"/>
    </row>
    <row r="29" spans="1:10">
      <c r="A29" s="73"/>
      <c r="B29" s="5" t="s">
        <v>97</v>
      </c>
      <c r="C29" s="37">
        <f>IF((Utslag!B29)&lt;800,0,(Utslag!B29)-800)</f>
        <v>0</v>
      </c>
      <c r="D29" s="37">
        <f>HLOOKUP(Utslag!B4,AKkorn2,8)</f>
        <v>0</v>
      </c>
      <c r="E29" s="80">
        <f t="shared" si="0"/>
        <v>0</v>
      </c>
      <c r="F29" s="37"/>
      <c r="G29" s="5"/>
      <c r="H29" s="1"/>
    </row>
    <row r="30" spans="1:10">
      <c r="A30" s="73" t="s">
        <v>62</v>
      </c>
      <c r="B30" s="62" t="s">
        <v>89</v>
      </c>
      <c r="C30" s="44">
        <f>IF((Utslag!B33)&lt;30,(Utslag!B33),30)</f>
        <v>0</v>
      </c>
      <c r="D30" s="44">
        <f>HLOOKUP(Utslag!B4,AKkorn2,9)</f>
        <v>0</v>
      </c>
      <c r="E30" s="80">
        <f t="shared" si="0"/>
        <v>0</v>
      </c>
      <c r="F30" s="39"/>
      <c r="G30" s="5"/>
      <c r="H30" s="1"/>
    </row>
    <row r="31" spans="1:10">
      <c r="A31" s="73"/>
      <c r="B31" s="21" t="s">
        <v>90</v>
      </c>
      <c r="C31" s="37">
        <f>IF(AND(C30=30,C32=0),Utslag!B33-30,IF(C32&gt;0,30,0))</f>
        <v>0</v>
      </c>
      <c r="D31" s="44">
        <f>HLOOKUP(Utslag!B4,AKkorn2,10)</f>
        <v>0</v>
      </c>
      <c r="E31" s="80">
        <f t="shared" si="0"/>
        <v>0</v>
      </c>
      <c r="F31" s="39"/>
      <c r="G31" s="5"/>
      <c r="H31" s="1"/>
    </row>
    <row r="32" spans="1:10">
      <c r="A32" s="73"/>
      <c r="B32" s="192" t="s">
        <v>217</v>
      </c>
      <c r="C32" s="37">
        <f>IF(AND(Utslag!B33&gt;60,Utslag!B33&lt;80),Utslag!B33-60,IF(OR(Utslag!B33=80,Utslag!B33&gt;80),20,0))</f>
        <v>0</v>
      </c>
      <c r="D32" s="44">
        <f>HLOOKUP(Utslag!B4,AKkorn2,11)</f>
        <v>0</v>
      </c>
      <c r="E32" s="80">
        <f t="shared" si="0"/>
        <v>0</v>
      </c>
      <c r="F32" s="39"/>
      <c r="G32" s="5"/>
      <c r="H32" s="1"/>
    </row>
    <row r="33" spans="1:9">
      <c r="A33" s="73" t="s">
        <v>154</v>
      </c>
      <c r="B33" s="62" t="s">
        <v>89</v>
      </c>
      <c r="C33" s="44">
        <f>IF((Utslag!B34)&lt;30,(Utslag!B34),30)</f>
        <v>0</v>
      </c>
      <c r="D33" s="44">
        <f>HLOOKUP(Utslag!B4,AKkorn2,12)</f>
        <v>0</v>
      </c>
      <c r="E33" s="80">
        <f t="shared" si="0"/>
        <v>0</v>
      </c>
      <c r="F33" s="39"/>
      <c r="G33" s="5"/>
      <c r="H33" s="1"/>
    </row>
    <row r="34" spans="1:9">
      <c r="A34" s="90"/>
      <c r="B34" s="5" t="s">
        <v>91</v>
      </c>
      <c r="C34" s="37">
        <f>IF(AND(C33=30,C35=0),Utslag!B34-30,IF(C35&gt;0,10,0))</f>
        <v>0</v>
      </c>
      <c r="D34" s="37">
        <f>HLOOKUP(Utslag!B4,AKkorn2,13)</f>
        <v>0</v>
      </c>
      <c r="E34" s="80">
        <f t="shared" si="0"/>
        <v>0</v>
      </c>
      <c r="F34" s="17"/>
      <c r="G34" s="5"/>
      <c r="H34" s="1"/>
    </row>
    <row r="35" spans="1:9">
      <c r="A35" s="90"/>
      <c r="B35" s="33" t="s">
        <v>92</v>
      </c>
      <c r="C35" s="38">
        <f>IF(Utslag!B34&gt;40,Utslag!B34-40,0)</f>
        <v>0</v>
      </c>
      <c r="D35" s="38">
        <f>HLOOKUP(Utslag!B4,AKkorn2,14)</f>
        <v>0</v>
      </c>
      <c r="E35" s="115">
        <f>C35*D35</f>
        <v>0</v>
      </c>
      <c r="F35" s="39"/>
      <c r="G35" s="5"/>
      <c r="H35" s="1"/>
    </row>
    <row r="36" spans="1:9">
      <c r="A36" s="73" t="s">
        <v>152</v>
      </c>
      <c r="B36" s="62" t="s">
        <v>89</v>
      </c>
      <c r="C36" s="44">
        <f>IF((Utslag!B35)&lt;30,(Utslag!B35),30)</f>
        <v>0</v>
      </c>
      <c r="D36" s="44">
        <f>HLOOKUP(Utslag!B4,AKkorn2,15)</f>
        <v>0</v>
      </c>
      <c r="E36" s="80">
        <f>C36*D36</f>
        <v>0</v>
      </c>
      <c r="F36" s="17"/>
      <c r="G36" s="5"/>
      <c r="H36" s="1"/>
    </row>
    <row r="37" spans="1:9">
      <c r="A37" s="90"/>
      <c r="B37" s="5" t="s">
        <v>91</v>
      </c>
      <c r="C37" s="37">
        <f>IF(AND(C36=30,C38=0),Utslag!B35-30,IF(C38&gt;0,10,0))</f>
        <v>0</v>
      </c>
      <c r="D37" s="37">
        <f>HLOOKUP(Utslag!B4,AKkorn2,16)</f>
        <v>0</v>
      </c>
      <c r="E37" s="80">
        <f>C37*D37</f>
        <v>0</v>
      </c>
      <c r="F37" s="17"/>
      <c r="G37" s="5"/>
      <c r="H37" s="1"/>
    </row>
    <row r="38" spans="1:9">
      <c r="A38" s="90"/>
      <c r="B38" s="33" t="s">
        <v>92</v>
      </c>
      <c r="C38" s="38">
        <f>IF(Utslag!B35&gt;40,Utslag!B35-40,0)</f>
        <v>0</v>
      </c>
      <c r="D38" s="38">
        <f>HLOOKUP(Utslag!B4,AKkorn2,17)</f>
        <v>0</v>
      </c>
      <c r="E38" s="115">
        <f>C38*D38</f>
        <v>0</v>
      </c>
      <c r="F38" s="17"/>
      <c r="G38" s="5"/>
      <c r="H38" s="21"/>
    </row>
    <row r="39" spans="1:9">
      <c r="A39" s="83"/>
      <c r="B39" s="96" t="s">
        <v>131</v>
      </c>
      <c r="C39" s="3"/>
      <c r="D39" s="3"/>
      <c r="E39" s="86">
        <f>SUM(E23:E38)</f>
        <v>0</v>
      </c>
      <c r="F39" s="6"/>
      <c r="G39" s="5"/>
      <c r="H39" s="5"/>
    </row>
    <row r="40" spans="1:9">
      <c r="B40" s="5"/>
      <c r="C40" s="5"/>
      <c r="D40" s="5"/>
      <c r="E40" s="5"/>
      <c r="F40" s="3"/>
      <c r="G40" s="5"/>
      <c r="H40" s="21"/>
    </row>
    <row r="41" spans="1:9">
      <c r="A41" s="1"/>
      <c r="B41" s="66"/>
      <c r="C41" s="42"/>
      <c r="D41" s="42"/>
      <c r="E41" s="67"/>
      <c r="F41" s="70"/>
      <c r="G41" s="1"/>
      <c r="H41" s="17"/>
    </row>
    <row r="43" spans="1:9">
      <c r="B43" s="78" t="s">
        <v>26</v>
      </c>
      <c r="C43" s="50"/>
      <c r="D43" s="50"/>
      <c r="E43" s="50"/>
      <c r="F43" s="50"/>
      <c r="G43" s="87"/>
    </row>
    <row r="44" spans="1:9">
      <c r="B44" s="71" t="s">
        <v>4</v>
      </c>
      <c r="C44" s="8" t="s">
        <v>27</v>
      </c>
      <c r="D44" s="8" t="s">
        <v>28</v>
      </c>
      <c r="E44" s="4" t="s">
        <v>29</v>
      </c>
      <c r="F44" s="4" t="s">
        <v>30</v>
      </c>
      <c r="G44" s="72" t="s">
        <v>31</v>
      </c>
      <c r="I44" s="161" t="s">
        <v>203</v>
      </c>
    </row>
    <row r="45" spans="1:9">
      <c r="B45" s="66" t="s">
        <v>39</v>
      </c>
      <c r="C45" s="48">
        <v>4028</v>
      </c>
      <c r="D45" s="49">
        <v>4028</v>
      </c>
      <c r="E45" s="5">
        <f>IF(Utslag!B37&lt;17,Utslag!B37,16)</f>
        <v>0</v>
      </c>
      <c r="F45" s="50">
        <f>C45*E45</f>
        <v>0</v>
      </c>
      <c r="G45" s="87">
        <f>D45*E45</f>
        <v>0</v>
      </c>
      <c r="I45">
        <f>IF(Utslag!B37&gt;0,IF(Utslag!B37+Utslag!B38&lt;17,Utslag!B37+Utslag!B38,16),0)</f>
        <v>0</v>
      </c>
    </row>
    <row r="46" spans="1:9">
      <c r="B46" s="73" t="s">
        <v>24</v>
      </c>
      <c r="C46" s="51">
        <v>2072</v>
      </c>
      <c r="D46" s="52">
        <v>2072</v>
      </c>
      <c r="E46" s="5">
        <f>IF(Utslag!B37&lt;17,0,IF(Utslag!B37&lt;26,Utslag!B37-16,9))</f>
        <v>0</v>
      </c>
      <c r="F46" s="50">
        <f>C46*E46</f>
        <v>0</v>
      </c>
      <c r="G46" s="87">
        <f>D46*E46</f>
        <v>0</v>
      </c>
      <c r="I46">
        <f>IF(Utslag!B37&gt;0,IF(Utslag!B37+Utslag!B38&lt;17,0,IF(Utslag!B37+Utslag!B38&lt;26,Utslag!B37+Utslag!B38-16,9)),0)</f>
        <v>0</v>
      </c>
    </row>
    <row r="47" spans="1:9">
      <c r="B47" s="74" t="s">
        <v>40</v>
      </c>
      <c r="C47" s="53">
        <v>860</v>
      </c>
      <c r="D47" s="30">
        <v>860</v>
      </c>
      <c r="E47" s="3">
        <f>IF(Utslag!B37&lt;26,0,IF(Utslag!B37&lt;51,Utslag!B37-25,25))</f>
        <v>0</v>
      </c>
      <c r="F47" s="50">
        <f>C47*E47</f>
        <v>0</v>
      </c>
      <c r="G47" s="87">
        <f>D47*E47</f>
        <v>0</v>
      </c>
      <c r="I47">
        <f>IF(Utslag!B37&gt;0,IF(Utslag!B37+Utslag!B38&lt;26,0,IF(Utslag!B37+Utslag!B38&lt;51,Utslag!B37+Utslag!B38-25,25)),0)</f>
        <v>0</v>
      </c>
    </row>
    <row r="48" spans="1:9">
      <c r="B48" s="76"/>
      <c r="C48" s="51"/>
      <c r="D48" s="52"/>
      <c r="E48" s="17"/>
      <c r="F48" s="17"/>
      <c r="G48" s="88"/>
    </row>
    <row r="49" spans="2:7">
      <c r="B49" s="78" t="s">
        <v>6</v>
      </c>
      <c r="C49" s="48"/>
      <c r="D49" s="49"/>
      <c r="E49" s="50"/>
      <c r="F49" s="50"/>
      <c r="G49" s="87"/>
    </row>
    <row r="50" spans="2:7">
      <c r="B50" s="73" t="s">
        <v>98</v>
      </c>
      <c r="C50" s="51">
        <v>800</v>
      </c>
      <c r="D50" s="52">
        <v>800</v>
      </c>
      <c r="E50" s="5">
        <f>IF(Utslag!B39&lt;50,Utslag!B39,50)</f>
        <v>0</v>
      </c>
      <c r="F50" s="17">
        <f>C50*E50</f>
        <v>0</v>
      </c>
      <c r="G50" s="88">
        <f>D50*E50</f>
        <v>0</v>
      </c>
    </row>
    <row r="51" spans="2:7">
      <c r="B51" s="74" t="s">
        <v>110</v>
      </c>
      <c r="C51" s="53">
        <v>800</v>
      </c>
      <c r="D51" s="52">
        <v>800</v>
      </c>
      <c r="E51" s="3">
        <f>IF(Utslag!B39&lt;50,0,IF(Utslag!B39&gt;250,200,Utslag!B39-50))</f>
        <v>0</v>
      </c>
      <c r="F51" s="17">
        <f>C51*E51</f>
        <v>0</v>
      </c>
      <c r="G51" s="88">
        <f>D51*E51</f>
        <v>0</v>
      </c>
    </row>
    <row r="52" spans="2:7">
      <c r="B52" s="73"/>
      <c r="C52" s="51"/>
      <c r="D52" s="52"/>
      <c r="E52" s="17"/>
      <c r="F52" s="17"/>
      <c r="G52" s="88"/>
    </row>
    <row r="53" spans="2:7">
      <c r="B53" s="78" t="s">
        <v>7</v>
      </c>
      <c r="C53" s="48"/>
      <c r="D53" s="49"/>
      <c r="E53" s="50"/>
      <c r="F53" s="50"/>
      <c r="G53" s="87"/>
    </row>
    <row r="54" spans="2:7">
      <c r="B54" s="73" t="s">
        <v>41</v>
      </c>
      <c r="C54" s="51">
        <v>1400</v>
      </c>
      <c r="D54" s="52">
        <v>1400</v>
      </c>
      <c r="E54" s="5">
        <f>IF(Utslag!B40&lt;125,Utslag!B40,125)</f>
        <v>0</v>
      </c>
      <c r="F54" s="17">
        <f>C54*E54</f>
        <v>0</v>
      </c>
      <c r="G54" s="88">
        <f>D54*E54</f>
        <v>0</v>
      </c>
    </row>
    <row r="55" spans="2:7">
      <c r="B55" s="74" t="s">
        <v>42</v>
      </c>
      <c r="C55" s="53">
        <v>512</v>
      </c>
      <c r="D55" s="30">
        <v>512</v>
      </c>
      <c r="E55" s="3">
        <f>IF(Utslag!B40&gt;250,125,IF(Utslag!B40&gt;125,Utslag!B40-125,0))</f>
        <v>0</v>
      </c>
      <c r="F55" s="17">
        <f>C55*E55</f>
        <v>0</v>
      </c>
      <c r="G55" s="88">
        <f>D55*E55</f>
        <v>0</v>
      </c>
    </row>
    <row r="56" spans="2:7">
      <c r="B56" s="73"/>
      <c r="C56" s="51"/>
      <c r="D56" s="52"/>
      <c r="E56" s="17"/>
      <c r="F56" s="17"/>
      <c r="G56" s="88"/>
    </row>
    <row r="57" spans="2:7">
      <c r="B57" s="78" t="s">
        <v>123</v>
      </c>
      <c r="C57" s="48"/>
      <c r="D57" s="49"/>
      <c r="E57" s="50"/>
      <c r="F57" s="50"/>
      <c r="G57" s="87"/>
    </row>
    <row r="58" spans="2:7">
      <c r="B58" s="73" t="s">
        <v>124</v>
      </c>
      <c r="C58" s="15">
        <v>206</v>
      </c>
      <c r="D58" s="171">
        <v>206</v>
      </c>
      <c r="E58" s="168">
        <f>Utslag!B27</f>
        <v>0</v>
      </c>
      <c r="F58" s="17">
        <f>C58*E58</f>
        <v>0</v>
      </c>
      <c r="G58" s="88">
        <f>D58*E58</f>
        <v>0</v>
      </c>
    </row>
    <row r="59" spans="2:7">
      <c r="B59" s="73" t="s">
        <v>159</v>
      </c>
      <c r="C59" s="15">
        <v>0</v>
      </c>
      <c r="D59" s="171">
        <v>0</v>
      </c>
      <c r="E59" s="17">
        <v>0</v>
      </c>
      <c r="F59" s="17">
        <f>C59*E59</f>
        <v>0</v>
      </c>
      <c r="G59" s="88">
        <f>D59*E59</f>
        <v>0</v>
      </c>
    </row>
    <row r="60" spans="2:7">
      <c r="B60" s="74" t="s">
        <v>126</v>
      </c>
      <c r="C60" s="14">
        <v>80</v>
      </c>
      <c r="D60" s="30">
        <v>80</v>
      </c>
      <c r="E60" s="9"/>
      <c r="F60" s="9"/>
      <c r="G60" s="75"/>
    </row>
    <row r="61" spans="2:7">
      <c r="B61" s="73"/>
      <c r="C61" s="15"/>
      <c r="D61" s="52"/>
      <c r="E61" s="17"/>
      <c r="F61" s="17"/>
      <c r="G61" s="88"/>
    </row>
    <row r="62" spans="2:7">
      <c r="B62" s="78" t="s">
        <v>157</v>
      </c>
      <c r="C62" s="43"/>
      <c r="D62" s="49"/>
      <c r="E62" s="50"/>
      <c r="F62" s="50"/>
      <c r="G62" s="87"/>
    </row>
    <row r="63" spans="2:7">
      <c r="B63" s="73" t="s">
        <v>98</v>
      </c>
      <c r="C63" s="15">
        <v>1180</v>
      </c>
      <c r="D63" s="52">
        <v>1326</v>
      </c>
      <c r="E63" s="5">
        <f>IF(Utslag!$B$41&lt;50,Utslag!$B$41,50)</f>
        <v>0</v>
      </c>
      <c r="F63" s="17">
        <f>C63*E63</f>
        <v>0</v>
      </c>
      <c r="G63" s="88">
        <f>D63*E63</f>
        <v>0</v>
      </c>
    </row>
    <row r="64" spans="2:7">
      <c r="B64" s="73" t="s">
        <v>207</v>
      </c>
      <c r="C64" s="15">
        <v>924</v>
      </c>
      <c r="D64" s="52">
        <v>1070</v>
      </c>
      <c r="E64" s="5">
        <f>IF(Utslag!$B$41&lt;50,0,IF(Utslag!$B$41&lt;75,Utslag!$B$41-50,25))</f>
        <v>0</v>
      </c>
      <c r="F64" s="17">
        <f>C64*E64</f>
        <v>0</v>
      </c>
      <c r="G64" s="88">
        <f>D64*E64</f>
        <v>0</v>
      </c>
    </row>
    <row r="65" spans="2:9">
      <c r="B65" s="73" t="s">
        <v>155</v>
      </c>
      <c r="C65" s="15">
        <v>924</v>
      </c>
      <c r="D65" s="52">
        <v>1062</v>
      </c>
      <c r="E65" s="5">
        <f>IF(Utslag!$B$41&lt;75,0,IF(Utslag!$B$41&lt;100,Utslag!$B$41-75,25))</f>
        <v>0</v>
      </c>
      <c r="F65" s="17">
        <f>C65*E65</f>
        <v>0</v>
      </c>
      <c r="G65" s="88">
        <f>D65*E65</f>
        <v>0</v>
      </c>
    </row>
    <row r="66" spans="2:9">
      <c r="B66" s="76" t="s">
        <v>156</v>
      </c>
      <c r="C66" s="15">
        <v>347</v>
      </c>
      <c r="D66" s="52">
        <v>347</v>
      </c>
      <c r="E66" s="5">
        <f>IF(Utslag!$B$41&lt;100,0,IF(Utslag!$B$41&lt;200,Utslag!$B$41-100,100))</f>
        <v>0</v>
      </c>
      <c r="F66" s="17">
        <f>C66*E66</f>
        <v>0</v>
      </c>
      <c r="G66" s="88">
        <f>D66*E66</f>
        <v>0</v>
      </c>
    </row>
    <row r="67" spans="2:9">
      <c r="B67" s="74" t="s">
        <v>103</v>
      </c>
      <c r="C67" s="14">
        <v>210</v>
      </c>
      <c r="D67" s="52">
        <v>210</v>
      </c>
      <c r="E67" s="3">
        <f>IF(Utslag!$B$41&lt;200,0,IF(Utslag!$B$41&gt;200,Utslag!$B$41-200,0))</f>
        <v>0</v>
      </c>
      <c r="F67" s="17">
        <f>C67*E67</f>
        <v>0</v>
      </c>
      <c r="G67" s="88">
        <f>D67*E67</f>
        <v>0</v>
      </c>
    </row>
    <row r="68" spans="2:9">
      <c r="B68" s="73"/>
      <c r="C68" s="15"/>
      <c r="D68" s="52"/>
      <c r="E68" s="17"/>
      <c r="F68" s="17"/>
      <c r="G68" s="88"/>
    </row>
    <row r="69" spans="2:9">
      <c r="B69" s="78" t="s">
        <v>202</v>
      </c>
      <c r="C69" s="43"/>
      <c r="D69" s="49"/>
      <c r="E69" s="50"/>
      <c r="F69" s="50"/>
      <c r="G69" s="87"/>
      <c r="I69" t="s">
        <v>203</v>
      </c>
    </row>
    <row r="70" spans="2:9">
      <c r="B70" s="91" t="s">
        <v>39</v>
      </c>
      <c r="C70" s="15">
        <v>4080</v>
      </c>
      <c r="D70" s="54">
        <v>4080</v>
      </c>
      <c r="E70" s="5">
        <f>IF(Utslag!B38&lt;17,Utslag!B38,16)</f>
        <v>0</v>
      </c>
      <c r="F70" s="17">
        <f>C70*E70</f>
        <v>0</v>
      </c>
      <c r="G70" s="88">
        <f>D70*E70</f>
        <v>0</v>
      </c>
      <c r="I70">
        <f>IF($I$45&gt;0,0,E70)</f>
        <v>0</v>
      </c>
    </row>
    <row r="71" spans="2:9">
      <c r="B71" s="73" t="s">
        <v>24</v>
      </c>
      <c r="C71" s="15">
        <v>4080</v>
      </c>
      <c r="D71" s="54">
        <v>4080</v>
      </c>
      <c r="E71" s="5">
        <f>IF(Utslag!B38&lt;17,0,IF(Utslag!B38&lt;26,Utslag!B38-16,9))</f>
        <v>0</v>
      </c>
      <c r="F71" s="17">
        <f>C71*E71</f>
        <v>0</v>
      </c>
      <c r="G71" s="88">
        <f>D71*E71</f>
        <v>0</v>
      </c>
      <c r="I71">
        <f>IF($I$45&gt;0,0,E71)</f>
        <v>0</v>
      </c>
    </row>
    <row r="72" spans="2:9">
      <c r="B72" s="84" t="s">
        <v>40</v>
      </c>
      <c r="C72" s="14">
        <v>2170</v>
      </c>
      <c r="D72" s="55">
        <v>2170</v>
      </c>
      <c r="E72" s="3">
        <f>IF(Utslag!B38&lt;26,0,IF(Utslag!B38&lt;51,Utslag!B38-25,25))</f>
        <v>0</v>
      </c>
      <c r="F72" s="17">
        <f>C72*E72</f>
        <v>0</v>
      </c>
      <c r="G72" s="88">
        <f>D72*E72</f>
        <v>0</v>
      </c>
    </row>
    <row r="73" spans="2:9">
      <c r="B73" s="268" t="s">
        <v>241</v>
      </c>
      <c r="C73" s="26">
        <v>500</v>
      </c>
      <c r="D73" s="269">
        <v>500</v>
      </c>
      <c r="E73" s="3">
        <f>IF(Utslag!$B$38&lt;50,0,IF(Utslag!$B$38&gt;50,Utslag!$B$38-50,0))</f>
        <v>0</v>
      </c>
      <c r="F73" s="17">
        <f>C73*E73</f>
        <v>0</v>
      </c>
      <c r="G73" s="88">
        <f>D73*E73</f>
        <v>0</v>
      </c>
      <c r="I73">
        <f>IF($I$45&gt;0,0,E72)</f>
        <v>0</v>
      </c>
    </row>
    <row r="74" spans="2:9">
      <c r="B74" s="76"/>
      <c r="C74" s="15"/>
      <c r="D74" s="54"/>
      <c r="E74" s="17"/>
      <c r="F74" s="17"/>
      <c r="G74" s="88"/>
    </row>
    <row r="75" spans="2:9">
      <c r="B75" s="78" t="s">
        <v>10</v>
      </c>
      <c r="C75" s="43"/>
      <c r="D75" s="49"/>
      <c r="E75" s="50"/>
      <c r="F75" s="50"/>
      <c r="G75" s="87"/>
    </row>
    <row r="76" spans="2:9">
      <c r="B76" s="91" t="s">
        <v>100</v>
      </c>
      <c r="C76" s="15">
        <v>765</v>
      </c>
      <c r="D76" s="52">
        <v>915</v>
      </c>
      <c r="E76" s="5">
        <f>IF(AND(Utslag!B43&lt;35,Utslag!B4&lt;6),Utslag!B43,IF(AND(Utslag!B43&lt;35,Utslag!B4&gt;5),0,IF(AND(Utslag!B43&gt;35,Utslag!B4&gt;5),0,35)))</f>
        <v>0</v>
      </c>
      <c r="F76" s="17">
        <f>C76*E76</f>
        <v>0</v>
      </c>
      <c r="G76" s="88">
        <f>D76*E76</f>
        <v>0</v>
      </c>
    </row>
    <row r="77" spans="2:9">
      <c r="B77" s="91" t="s">
        <v>101</v>
      </c>
      <c r="C77" s="15">
        <v>1052</v>
      </c>
      <c r="D77" s="52">
        <v>1202</v>
      </c>
      <c r="E77" s="5">
        <f>IF(AND(Utslag!B43&lt;35,Utslag!B4&gt;5),Utslag!B43,IF(AND(Utslag!B43&lt;35,Utslag!B4&lt;6),0,IF(AND(Utslag!B4&gt;5,Utslag!B43&gt;35),35,0)))</f>
        <v>0</v>
      </c>
      <c r="F77" s="17">
        <f>C77*E77</f>
        <v>0</v>
      </c>
      <c r="G77" s="88">
        <f>D77*E77</f>
        <v>0</v>
      </c>
    </row>
    <row r="78" spans="2:9">
      <c r="B78" s="73" t="s">
        <v>104</v>
      </c>
      <c r="C78" s="15">
        <v>0</v>
      </c>
      <c r="D78" s="52">
        <v>0</v>
      </c>
      <c r="E78" s="5">
        <f>IF(Utslag!B43&lt;36,0,IF(Utslag!B43&lt;70,Utslag!B43-35,35))</f>
        <v>0</v>
      </c>
      <c r="F78" s="17">
        <f>C78*E78</f>
        <v>0</v>
      </c>
      <c r="G78" s="88">
        <f>D78*E78</f>
        <v>0</v>
      </c>
    </row>
    <row r="79" spans="2:9">
      <c r="B79" s="74" t="s">
        <v>105</v>
      </c>
      <c r="C79" s="14">
        <v>0</v>
      </c>
      <c r="D79" s="30"/>
      <c r="E79" s="3">
        <f>IF(Utslag!B43&lt;70,0,IF(Utslag!B43&gt;70,Utslag!B43-70,0))</f>
        <v>0</v>
      </c>
      <c r="F79" s="9"/>
      <c r="G79" s="75"/>
    </row>
    <row r="80" spans="2:9">
      <c r="B80" s="73"/>
      <c r="C80" s="15"/>
      <c r="D80" s="52"/>
      <c r="E80" s="17"/>
      <c r="F80" s="17"/>
      <c r="G80" s="88"/>
    </row>
    <row r="81" spans="2:7">
      <c r="B81" s="78" t="s">
        <v>11</v>
      </c>
      <c r="C81" s="43"/>
      <c r="D81" s="49"/>
      <c r="E81" s="50"/>
      <c r="F81" s="50"/>
      <c r="G81" s="87"/>
    </row>
    <row r="82" spans="2:7">
      <c r="B82" s="91" t="s">
        <v>53</v>
      </c>
      <c r="C82" s="15">
        <v>20</v>
      </c>
      <c r="D82" s="52">
        <v>23</v>
      </c>
      <c r="E82" s="17">
        <f>IF(Utslag!B44&lt;1400,Utslag!B44,1400)</f>
        <v>0</v>
      </c>
      <c r="F82" s="17">
        <f>C82*E82</f>
        <v>0</v>
      </c>
      <c r="G82" s="88">
        <f>D82*E82</f>
        <v>0</v>
      </c>
    </row>
    <row r="83" spans="2:7">
      <c r="B83" s="73" t="s">
        <v>111</v>
      </c>
      <c r="C83" s="15">
        <v>0</v>
      </c>
      <c r="D83" s="52">
        <v>0</v>
      </c>
      <c r="E83" s="17"/>
      <c r="F83" s="17">
        <f>C83*E83</f>
        <v>0</v>
      </c>
      <c r="G83" s="88">
        <f>D83*E83</f>
        <v>0</v>
      </c>
    </row>
    <row r="84" spans="2:7">
      <c r="B84" s="102" t="s">
        <v>112</v>
      </c>
      <c r="C84" s="14">
        <v>0</v>
      </c>
      <c r="D84" s="30">
        <v>0</v>
      </c>
      <c r="E84" s="9"/>
      <c r="F84" s="9">
        <f>C84*E84</f>
        <v>0</v>
      </c>
      <c r="G84" s="75">
        <f>D84*E84</f>
        <v>0</v>
      </c>
    </row>
    <row r="85" spans="2:7">
      <c r="B85" s="91"/>
      <c r="C85" s="15"/>
      <c r="D85" s="52"/>
      <c r="E85" s="17"/>
      <c r="F85" s="17"/>
      <c r="G85" s="88"/>
    </row>
    <row r="86" spans="2:7">
      <c r="B86" s="78" t="s">
        <v>12</v>
      </c>
      <c r="C86" s="43"/>
      <c r="D86" s="49"/>
      <c r="E86" s="50"/>
      <c r="F86" s="50"/>
      <c r="G86" s="87"/>
    </row>
    <row r="87" spans="2:7">
      <c r="B87" s="73" t="s">
        <v>106</v>
      </c>
      <c r="C87" s="15">
        <v>10</v>
      </c>
      <c r="D87" s="52">
        <v>10</v>
      </c>
      <c r="E87" s="3">
        <f>IF(Utslag!$B$45&lt;1000,Utslag!$B$45,1000)</f>
        <v>0</v>
      </c>
      <c r="F87" s="17">
        <f t="shared" ref="F87:F92" si="1">C87*E87</f>
        <v>0</v>
      </c>
      <c r="G87" s="88">
        <f t="shared" ref="G87:G92" si="2">D87*E87</f>
        <v>0</v>
      </c>
    </row>
    <row r="88" spans="2:7">
      <c r="B88" s="73" t="s">
        <v>107</v>
      </c>
      <c r="C88" s="15">
        <v>24</v>
      </c>
      <c r="D88" s="52">
        <v>24</v>
      </c>
      <c r="E88" s="17">
        <f>IF(Utslag!B4&gt;5,E87,0)</f>
        <v>0</v>
      </c>
      <c r="F88" s="17">
        <f t="shared" si="1"/>
        <v>0</v>
      </c>
      <c r="G88" s="88">
        <f t="shared" si="2"/>
        <v>0</v>
      </c>
    </row>
    <row r="89" spans="2:7">
      <c r="B89" s="76" t="s">
        <v>108</v>
      </c>
      <c r="C89" s="15">
        <v>10</v>
      </c>
      <c r="D89" s="52">
        <v>10</v>
      </c>
      <c r="E89" s="17">
        <f>IF(Utslag!B45&lt;5000,Utslag!B45,4000)</f>
        <v>0</v>
      </c>
      <c r="F89" s="17">
        <f t="shared" si="1"/>
        <v>0</v>
      </c>
      <c r="G89" s="88">
        <f t="shared" si="2"/>
        <v>0</v>
      </c>
    </row>
    <row r="90" spans="2:7">
      <c r="B90" s="76" t="s">
        <v>109</v>
      </c>
      <c r="C90" s="15">
        <v>0</v>
      </c>
      <c r="D90" s="52">
        <v>0</v>
      </c>
      <c r="E90" s="15">
        <v>0</v>
      </c>
      <c r="F90" s="17">
        <f t="shared" si="1"/>
        <v>0</v>
      </c>
      <c r="G90" s="88">
        <f t="shared" si="2"/>
        <v>0</v>
      </c>
    </row>
    <row r="91" spans="2:7">
      <c r="B91" s="84" t="s">
        <v>113</v>
      </c>
      <c r="C91" s="14">
        <v>0</v>
      </c>
      <c r="D91" s="30">
        <v>0</v>
      </c>
      <c r="E91" s="14">
        <v>0</v>
      </c>
      <c r="F91" s="9">
        <f t="shared" si="1"/>
        <v>0</v>
      </c>
      <c r="G91" s="75">
        <f t="shared" si="2"/>
        <v>0</v>
      </c>
    </row>
    <row r="92" spans="2:7">
      <c r="B92" s="103" t="s">
        <v>254</v>
      </c>
      <c r="C92" s="56">
        <v>0</v>
      </c>
      <c r="D92" s="57">
        <v>210</v>
      </c>
      <c r="E92" s="272">
        <f>Utslag!B42</f>
        <v>0</v>
      </c>
      <c r="F92" s="58">
        <f t="shared" si="1"/>
        <v>0</v>
      </c>
      <c r="G92" s="104">
        <f t="shared" si="2"/>
        <v>0</v>
      </c>
    </row>
    <row r="93" spans="2:7">
      <c r="B93" s="73"/>
      <c r="C93" s="15"/>
      <c r="D93" s="52"/>
      <c r="E93" s="17"/>
      <c r="F93" s="17"/>
      <c r="G93" s="88"/>
    </row>
    <row r="94" spans="2:7">
      <c r="B94" s="103" t="s">
        <v>114</v>
      </c>
      <c r="C94" s="56">
        <v>1000</v>
      </c>
      <c r="D94" s="57">
        <v>1000</v>
      </c>
      <c r="E94" s="56">
        <v>0</v>
      </c>
      <c r="F94" s="58">
        <f>C94*E94</f>
        <v>0</v>
      </c>
      <c r="G94" s="104">
        <f>D94*E94</f>
        <v>0</v>
      </c>
    </row>
    <row r="95" spans="2:7">
      <c r="B95" s="69"/>
      <c r="C95" s="15"/>
      <c r="D95" s="52"/>
      <c r="E95" s="15"/>
      <c r="F95" s="17"/>
      <c r="G95" s="88"/>
    </row>
    <row r="96" spans="2:7">
      <c r="B96" s="69"/>
      <c r="C96" s="15"/>
      <c r="D96" s="52"/>
      <c r="E96" s="15"/>
      <c r="F96" s="17"/>
      <c r="G96" s="88"/>
    </row>
    <row r="97" spans="2:10">
      <c r="B97" s="69"/>
      <c r="C97" s="17"/>
      <c r="D97" s="17"/>
      <c r="E97" s="17"/>
      <c r="F97" s="59">
        <f>SUM(F45:F94)</f>
        <v>0</v>
      </c>
      <c r="G97" s="105">
        <f>SUM(G45:G94)</f>
        <v>0</v>
      </c>
    </row>
    <row r="98" spans="2:10">
      <c r="B98" s="74" t="s">
        <v>32</v>
      </c>
      <c r="C98" s="106">
        <v>280000</v>
      </c>
      <c r="D98" s="106">
        <v>280000</v>
      </c>
      <c r="E98" s="9"/>
      <c r="F98" s="9" t="s">
        <v>33</v>
      </c>
      <c r="G98" s="75" t="s">
        <v>34</v>
      </c>
      <c r="H98" s="5" t="s">
        <v>32</v>
      </c>
      <c r="I98" s="12">
        <v>280000</v>
      </c>
      <c r="J98" s="12">
        <v>280000</v>
      </c>
    </row>
    <row r="99" spans="2:10">
      <c r="B99" s="5" t="s">
        <v>205</v>
      </c>
      <c r="F99" s="169">
        <f>IF(F97&gt;C98,C98,F97)</f>
        <v>0</v>
      </c>
      <c r="G99" s="169">
        <f>IF(G97&gt;D98,D98,G97)</f>
        <v>0</v>
      </c>
      <c r="H99" s="5" t="s">
        <v>58</v>
      </c>
    </row>
    <row r="100" spans="2:10">
      <c r="B100" s="3"/>
      <c r="F100" s="11"/>
      <c r="G100" s="11"/>
      <c r="H100" s="3"/>
    </row>
    <row r="101" spans="2:10">
      <c r="B101">
        <v>1</v>
      </c>
      <c r="C101" s="13">
        <f>IF(AND(F97&lt;$C$98,G97&lt;$D$98),0,0)</f>
        <v>0</v>
      </c>
      <c r="H101">
        <v>1</v>
      </c>
      <c r="I101" s="13">
        <f>IF(AND(F97&lt;$I$98,G97&lt;$J$98),0,0)</f>
        <v>0</v>
      </c>
    </row>
    <row r="102" spans="2:10">
      <c r="B102">
        <v>2</v>
      </c>
      <c r="C102">
        <f>IF(AND(F97&lt;C98,G97&gt;D98),(D98-F97),0)</f>
        <v>0</v>
      </c>
      <c r="D102" t="s">
        <v>35</v>
      </c>
      <c r="H102">
        <v>2</v>
      </c>
      <c r="I102">
        <f>IF(AND(F97&lt;I98,G97&gt;J98),(J98-F97),0)</f>
        <v>0</v>
      </c>
      <c r="J102" t="s">
        <v>35</v>
      </c>
    </row>
    <row r="103" spans="2:10">
      <c r="B103">
        <v>3</v>
      </c>
      <c r="C103">
        <f>IF(AND(F97&gt;C98,G97&gt;D98),(D98-C98),0)</f>
        <v>0</v>
      </c>
      <c r="D103" t="s">
        <v>36</v>
      </c>
      <c r="H103">
        <v>3</v>
      </c>
      <c r="I103" s="32">
        <f>IF(AND(F97&gt;I98,G97&gt;J98),(J98-I98),0)</f>
        <v>0</v>
      </c>
      <c r="J103" t="s">
        <v>36</v>
      </c>
    </row>
    <row r="104" spans="2:10">
      <c r="B104" s="9">
        <v>4</v>
      </c>
      <c r="C104" s="9">
        <f>IF(AND(F97&gt;C98,G97&lt;D98),(G97-$C$98),0)</f>
        <v>0</v>
      </c>
      <c r="D104" t="s">
        <v>37</v>
      </c>
      <c r="H104" s="9">
        <v>4</v>
      </c>
      <c r="I104" s="9">
        <f>IF(AND(F97&gt;I98,G97&lt;J98),(G97-I98),0)</f>
        <v>0</v>
      </c>
      <c r="J104" t="s">
        <v>37</v>
      </c>
    </row>
    <row r="105" spans="2:10">
      <c r="C105" s="2">
        <f>SUM(C101:C104)</f>
        <v>0</v>
      </c>
      <c r="I105" s="20">
        <f>SUM(I101:I104)</f>
        <v>0</v>
      </c>
    </row>
    <row r="106" spans="2:10">
      <c r="B106" s="16"/>
      <c r="C106" s="17"/>
      <c r="D106" s="17"/>
      <c r="E106" s="17"/>
      <c r="F106" s="17"/>
      <c r="G106" s="17"/>
      <c r="H106" s="17"/>
      <c r="I106" s="17"/>
    </row>
    <row r="107" spans="2:10" ht="14.25">
      <c r="B107" s="29" t="s">
        <v>134</v>
      </c>
      <c r="C107" s="17"/>
      <c r="D107" s="170">
        <f>G99-F99</f>
        <v>0</v>
      </c>
      <c r="E107" s="17"/>
      <c r="F107" s="17"/>
      <c r="G107" s="17"/>
      <c r="H107" s="17"/>
      <c r="I107" s="17"/>
    </row>
    <row r="109" spans="2:10">
      <c r="B109" s="78" t="s">
        <v>43</v>
      </c>
      <c r="C109" s="50"/>
      <c r="D109" s="50"/>
      <c r="E109" s="50"/>
      <c r="F109" s="41" t="s">
        <v>138</v>
      </c>
      <c r="G109" s="87"/>
    </row>
    <row r="110" spans="2:10">
      <c r="B110" s="69" t="s">
        <v>4</v>
      </c>
      <c r="C110" s="59" t="s">
        <v>27</v>
      </c>
      <c r="D110" s="6" t="s">
        <v>249</v>
      </c>
      <c r="E110" s="6" t="s">
        <v>29</v>
      </c>
      <c r="F110" s="6" t="s">
        <v>30</v>
      </c>
      <c r="G110" s="79" t="s">
        <v>31</v>
      </c>
    </row>
    <row r="111" spans="2:10">
      <c r="B111" s="66" t="s">
        <v>23</v>
      </c>
      <c r="C111" s="48">
        <v>3826</v>
      </c>
      <c r="D111" s="157">
        <v>3975</v>
      </c>
      <c r="E111" s="50">
        <f>B207</f>
        <v>0</v>
      </c>
      <c r="F111" s="49">
        <f>C111*E111</f>
        <v>0</v>
      </c>
      <c r="G111" s="107">
        <f>D111*E111</f>
        <v>0</v>
      </c>
    </row>
    <row r="112" spans="2:10">
      <c r="B112" s="73" t="s">
        <v>44</v>
      </c>
      <c r="C112" s="51">
        <v>2598</v>
      </c>
      <c r="D112" s="157">
        <v>2699</v>
      </c>
      <c r="E112" s="17">
        <f>B208</f>
        <v>0</v>
      </c>
      <c r="F112" s="52">
        <f>C112*E112</f>
        <v>0</v>
      </c>
      <c r="G112" s="108">
        <f>D112*E112</f>
        <v>0</v>
      </c>
    </row>
    <row r="113" spans="2:7">
      <c r="B113" s="73"/>
      <c r="C113" s="51"/>
      <c r="D113" s="51"/>
      <c r="E113" s="17"/>
      <c r="F113" s="52"/>
      <c r="G113" s="108"/>
    </row>
    <row r="114" spans="2:7">
      <c r="B114" s="69" t="s">
        <v>6</v>
      </c>
      <c r="C114" s="51"/>
      <c r="D114" s="51"/>
      <c r="E114" s="17"/>
      <c r="F114" s="52"/>
      <c r="G114" s="108"/>
    </row>
    <row r="115" spans="2:7">
      <c r="B115" s="73" t="s">
        <v>115</v>
      </c>
      <c r="C115" s="51">
        <v>553</v>
      </c>
      <c r="D115" s="157">
        <v>575</v>
      </c>
      <c r="E115" s="17">
        <f>B212</f>
        <v>0</v>
      </c>
      <c r="F115" s="52">
        <f>C115*E115</f>
        <v>0</v>
      </c>
      <c r="G115" s="108">
        <f>D115*E115</f>
        <v>0</v>
      </c>
    </row>
    <row r="116" spans="2:7">
      <c r="B116" s="73"/>
      <c r="C116" s="51"/>
      <c r="D116" s="51"/>
      <c r="E116" s="17"/>
      <c r="F116" s="52"/>
      <c r="G116" s="108"/>
    </row>
    <row r="117" spans="2:7">
      <c r="B117" s="69" t="s">
        <v>147</v>
      </c>
      <c r="C117" s="51"/>
      <c r="D117" s="51"/>
      <c r="E117" s="17"/>
      <c r="F117" s="52"/>
      <c r="G117" s="108"/>
    </row>
    <row r="118" spans="2:7">
      <c r="B118" s="73" t="s">
        <v>25</v>
      </c>
      <c r="C118" s="51">
        <v>910</v>
      </c>
      <c r="D118" s="157">
        <v>945</v>
      </c>
      <c r="E118" s="17">
        <f>B216</f>
        <v>0</v>
      </c>
      <c r="F118" s="52">
        <f>C118*E118</f>
        <v>0</v>
      </c>
      <c r="G118" s="108">
        <f>D118*E118</f>
        <v>0</v>
      </c>
    </row>
    <row r="119" spans="2:7">
      <c r="B119" s="73" t="s">
        <v>45</v>
      </c>
      <c r="C119" s="51">
        <v>609</v>
      </c>
      <c r="D119" s="157">
        <v>633</v>
      </c>
      <c r="E119" s="17">
        <f>B217</f>
        <v>0</v>
      </c>
      <c r="F119" s="52">
        <f>C119*E119</f>
        <v>0</v>
      </c>
      <c r="G119" s="108">
        <f>D119*E119</f>
        <v>0</v>
      </c>
    </row>
    <row r="120" spans="2:7">
      <c r="B120" s="73"/>
      <c r="C120" s="51"/>
      <c r="D120" s="51"/>
      <c r="E120" s="17"/>
      <c r="F120" s="52"/>
      <c r="G120" s="108"/>
    </row>
    <row r="121" spans="2:7">
      <c r="B121" s="69" t="s">
        <v>8</v>
      </c>
      <c r="C121" s="51"/>
      <c r="D121" s="51"/>
      <c r="E121" s="17"/>
      <c r="F121" s="52"/>
      <c r="G121" s="108"/>
    </row>
    <row r="122" spans="2:7">
      <c r="B122" s="76" t="s">
        <v>115</v>
      </c>
      <c r="C122" s="51">
        <v>480</v>
      </c>
      <c r="D122" s="157">
        <v>499</v>
      </c>
      <c r="E122" s="17">
        <f>B220</f>
        <v>0</v>
      </c>
      <c r="F122" s="52">
        <f>C122*E122</f>
        <v>0</v>
      </c>
      <c r="G122" s="108">
        <f>D122*E122</f>
        <v>0</v>
      </c>
    </row>
    <row r="123" spans="2:7">
      <c r="B123" s="73"/>
      <c r="C123" s="51"/>
      <c r="D123" s="51"/>
      <c r="E123" s="17"/>
      <c r="F123" s="52"/>
      <c r="G123" s="108"/>
    </row>
    <row r="124" spans="2:7">
      <c r="B124" s="69" t="s">
        <v>16</v>
      </c>
      <c r="C124" s="51"/>
      <c r="D124" s="51"/>
      <c r="E124" s="17"/>
      <c r="F124" s="52"/>
      <c r="G124" s="108"/>
    </row>
    <row r="125" spans="2:7">
      <c r="B125" s="91" t="s">
        <v>115</v>
      </c>
      <c r="C125" s="51">
        <v>916</v>
      </c>
      <c r="D125" s="157">
        <v>952</v>
      </c>
      <c r="E125" s="17">
        <f>B224</f>
        <v>0</v>
      </c>
      <c r="F125" s="52">
        <f>C125*E125</f>
        <v>0</v>
      </c>
      <c r="G125" s="108">
        <f>D125*E125</f>
        <v>0</v>
      </c>
    </row>
    <row r="126" spans="2:7">
      <c r="B126" s="73"/>
      <c r="C126" s="51"/>
      <c r="D126" s="51"/>
      <c r="E126" s="17"/>
      <c r="F126" s="52"/>
      <c r="G126" s="108"/>
    </row>
    <row r="127" spans="2:7">
      <c r="B127" s="69" t="s">
        <v>10</v>
      </c>
      <c r="C127" s="51"/>
      <c r="D127" s="51"/>
      <c r="E127" s="17"/>
      <c r="F127" s="52"/>
      <c r="G127" s="108"/>
    </row>
    <row r="128" spans="2:7">
      <c r="B128" s="91" t="s">
        <v>115</v>
      </c>
      <c r="C128" s="51">
        <v>1094</v>
      </c>
      <c r="D128" s="157">
        <v>1137</v>
      </c>
      <c r="E128" s="17">
        <f>B228</f>
        <v>0</v>
      </c>
      <c r="F128" s="52">
        <f>C128*E128</f>
        <v>0</v>
      </c>
      <c r="G128" s="108">
        <f>D128*E128</f>
        <v>0</v>
      </c>
    </row>
    <row r="129" spans="2:7">
      <c r="B129" s="73"/>
      <c r="C129" s="51"/>
      <c r="D129" s="51"/>
      <c r="E129" s="17"/>
      <c r="F129" s="52"/>
      <c r="G129" s="108"/>
    </row>
    <row r="130" spans="2:7">
      <c r="B130" s="69" t="s">
        <v>11</v>
      </c>
      <c r="C130" s="51"/>
      <c r="D130" s="51"/>
      <c r="E130" s="17"/>
      <c r="F130" s="52"/>
      <c r="G130" s="108"/>
    </row>
    <row r="131" spans="2:7">
      <c r="B131" s="91" t="s">
        <v>115</v>
      </c>
      <c r="C131" s="51">
        <v>38</v>
      </c>
      <c r="D131" s="157">
        <v>39</v>
      </c>
      <c r="E131" s="17">
        <f>B233</f>
        <v>0</v>
      </c>
      <c r="F131" s="52">
        <f>C131*E131</f>
        <v>0</v>
      </c>
      <c r="G131" s="108">
        <f>D131*E131</f>
        <v>0</v>
      </c>
    </row>
    <row r="132" spans="2:7">
      <c r="B132" s="73"/>
      <c r="C132" s="60"/>
      <c r="D132" s="51"/>
      <c r="E132" s="17"/>
      <c r="F132" s="52"/>
      <c r="G132" s="108"/>
    </row>
    <row r="133" spans="2:7">
      <c r="B133" s="69" t="s">
        <v>12</v>
      </c>
      <c r="C133" s="51"/>
      <c r="D133" s="51"/>
      <c r="E133" s="17"/>
      <c r="F133" s="52"/>
      <c r="G133" s="108"/>
    </row>
    <row r="134" spans="2:7">
      <c r="B134" s="73" t="s">
        <v>115</v>
      </c>
      <c r="C134" s="61">
        <v>9.6</v>
      </c>
      <c r="D134" s="157">
        <v>10</v>
      </c>
      <c r="E134" s="17">
        <f>B237</f>
        <v>0</v>
      </c>
      <c r="F134" s="52">
        <f>C134*E134</f>
        <v>0</v>
      </c>
      <c r="G134" s="108">
        <f>D134*E134</f>
        <v>0</v>
      </c>
    </row>
    <row r="135" spans="2:7">
      <c r="B135" s="73"/>
      <c r="C135" s="51"/>
      <c r="D135" s="51"/>
      <c r="E135" s="17"/>
      <c r="F135" s="52"/>
      <c r="G135" s="108"/>
    </row>
    <row r="136" spans="2:7">
      <c r="B136" s="69" t="s">
        <v>116</v>
      </c>
      <c r="C136" s="51"/>
      <c r="D136" s="51"/>
      <c r="E136" s="17"/>
      <c r="F136" s="52"/>
      <c r="G136" s="108"/>
    </row>
    <row r="137" spans="2:7">
      <c r="B137" s="73" t="s">
        <v>115</v>
      </c>
      <c r="C137" s="51">
        <v>1094</v>
      </c>
      <c r="D137" s="157">
        <v>1137</v>
      </c>
      <c r="E137" s="17"/>
      <c r="F137" s="52"/>
      <c r="G137" s="108"/>
    </row>
    <row r="138" spans="2:7">
      <c r="B138" s="73"/>
      <c r="C138" s="60"/>
      <c r="D138" s="51"/>
      <c r="E138" s="17"/>
      <c r="F138" s="52"/>
      <c r="G138" s="108"/>
    </row>
    <row r="139" spans="2:7">
      <c r="B139" s="69" t="s">
        <v>117</v>
      </c>
      <c r="C139" s="60"/>
      <c r="D139" s="51"/>
      <c r="E139" s="17"/>
      <c r="F139" s="52"/>
      <c r="G139" s="108"/>
    </row>
    <row r="140" spans="2:7">
      <c r="B140" s="73" t="s">
        <v>115</v>
      </c>
      <c r="C140" s="51">
        <v>272</v>
      </c>
      <c r="D140" s="157">
        <v>283</v>
      </c>
      <c r="E140" s="17"/>
      <c r="F140" s="52"/>
      <c r="G140" s="108"/>
    </row>
    <row r="141" spans="2:7">
      <c r="B141" s="73"/>
      <c r="C141" s="60"/>
      <c r="D141" s="51"/>
      <c r="E141" s="17"/>
      <c r="F141" s="52"/>
      <c r="G141" s="108"/>
    </row>
    <row r="142" spans="2:7">
      <c r="B142" s="69" t="s">
        <v>118</v>
      </c>
      <c r="C142" s="60"/>
      <c r="D142" s="51"/>
      <c r="E142" s="17"/>
      <c r="F142" s="52"/>
      <c r="G142" s="108"/>
    </row>
    <row r="143" spans="2:7">
      <c r="B143" s="73" t="s">
        <v>115</v>
      </c>
      <c r="C143" s="61">
        <v>3.35</v>
      </c>
      <c r="D143" s="157">
        <v>3.48</v>
      </c>
      <c r="E143" s="17"/>
      <c r="F143" s="52"/>
      <c r="G143" s="108"/>
    </row>
    <row r="144" spans="2:7">
      <c r="B144" s="73"/>
      <c r="C144" s="60"/>
      <c r="D144" s="51"/>
      <c r="E144" s="17"/>
      <c r="F144" s="52"/>
      <c r="G144" s="108"/>
    </row>
    <row r="145" spans="2:9">
      <c r="B145" s="69" t="s">
        <v>119</v>
      </c>
      <c r="C145" s="60"/>
      <c r="D145" s="51"/>
      <c r="E145" s="17"/>
      <c r="F145" s="52"/>
      <c r="G145" s="108"/>
    </row>
    <row r="146" spans="2:9">
      <c r="B146" s="73" t="s">
        <v>115</v>
      </c>
      <c r="C146" s="61">
        <v>3.35</v>
      </c>
      <c r="D146" s="157">
        <v>3.48</v>
      </c>
      <c r="E146" s="17"/>
      <c r="F146" s="52"/>
      <c r="G146" s="108"/>
    </row>
    <row r="147" spans="2:9">
      <c r="B147" s="73"/>
      <c r="C147" s="60"/>
      <c r="D147" s="51"/>
      <c r="E147" s="17"/>
      <c r="F147" s="52"/>
      <c r="G147" s="108"/>
    </row>
    <row r="148" spans="2:9">
      <c r="B148" s="69" t="s">
        <v>120</v>
      </c>
      <c r="C148" s="60"/>
      <c r="D148" s="51"/>
      <c r="E148" s="17"/>
      <c r="F148" s="52"/>
      <c r="G148" s="108"/>
    </row>
    <row r="149" spans="2:9">
      <c r="B149" s="73" t="s">
        <v>115</v>
      </c>
      <c r="C149" s="61">
        <v>0.41</v>
      </c>
      <c r="D149" s="67">
        <v>0.43</v>
      </c>
      <c r="E149" s="17">
        <f>B241</f>
        <v>0</v>
      </c>
      <c r="F149" s="52">
        <f>C149*E149</f>
        <v>0</v>
      </c>
      <c r="G149" s="108">
        <f>D149*E149</f>
        <v>0</v>
      </c>
    </row>
    <row r="150" spans="2:9">
      <c r="B150" s="73"/>
      <c r="C150" s="60"/>
      <c r="D150" s="51"/>
      <c r="E150" s="17"/>
      <c r="F150" s="52"/>
      <c r="G150" s="108"/>
    </row>
    <row r="151" spans="2:9">
      <c r="B151" s="69" t="s">
        <v>121</v>
      </c>
      <c r="C151" s="60"/>
      <c r="D151" s="51"/>
      <c r="E151" s="17"/>
      <c r="F151" s="52"/>
      <c r="G151" s="108"/>
    </row>
    <row r="152" spans="2:9">
      <c r="B152" s="73" t="s">
        <v>115</v>
      </c>
      <c r="C152" s="51">
        <v>300</v>
      </c>
      <c r="D152" s="157">
        <v>312</v>
      </c>
      <c r="E152" s="17"/>
      <c r="F152" s="52"/>
      <c r="G152" s="108"/>
    </row>
    <row r="153" spans="2:9">
      <c r="B153" s="73"/>
      <c r="C153" s="51"/>
      <c r="D153" s="51"/>
      <c r="E153" s="17"/>
      <c r="F153" s="52"/>
      <c r="G153" s="108"/>
    </row>
    <row r="154" spans="2:9">
      <c r="B154" s="69" t="s">
        <v>122</v>
      </c>
      <c r="C154" s="51"/>
      <c r="D154" s="51"/>
      <c r="E154" s="17"/>
      <c r="F154" s="52"/>
      <c r="G154" s="108"/>
    </row>
    <row r="155" spans="2:9">
      <c r="B155" s="74" t="s">
        <v>115</v>
      </c>
      <c r="C155" s="53">
        <v>88</v>
      </c>
      <c r="D155" s="157">
        <v>91</v>
      </c>
      <c r="E155" s="9"/>
      <c r="F155" s="30"/>
      <c r="G155" s="109"/>
    </row>
    <row r="156" spans="2:9">
      <c r="B156" s="90"/>
      <c r="C156" s="110"/>
      <c r="D156" s="15"/>
      <c r="E156" s="17"/>
      <c r="F156" s="17"/>
      <c r="G156" s="88"/>
    </row>
    <row r="157" spans="2:9">
      <c r="B157" s="69"/>
      <c r="C157" s="110"/>
      <c r="D157" s="15"/>
      <c r="E157" s="17"/>
      <c r="F157" s="111">
        <f>SUM(F111:F155)</f>
        <v>0</v>
      </c>
      <c r="G157" s="112">
        <f>SUM(G111:G155)</f>
        <v>0</v>
      </c>
      <c r="I157" s="7"/>
    </row>
    <row r="158" spans="2:9">
      <c r="B158" s="71" t="s">
        <v>32</v>
      </c>
      <c r="C158" s="106">
        <v>69000</v>
      </c>
      <c r="D158" s="113">
        <v>72000</v>
      </c>
      <c r="E158" s="9"/>
      <c r="F158" s="9" t="s">
        <v>33</v>
      </c>
      <c r="G158" s="75" t="s">
        <v>34</v>
      </c>
    </row>
    <row r="159" spans="2:9">
      <c r="B159" s="5"/>
    </row>
    <row r="160" spans="2:9">
      <c r="B160" s="3"/>
      <c r="F160" s="11"/>
    </row>
    <row r="161" spans="2:4">
      <c r="B161">
        <v>1</v>
      </c>
      <c r="C161" s="13">
        <f>IF(AND(F157&lt;$C$158,G157&lt;$D$158),0,0)</f>
        <v>0</v>
      </c>
    </row>
    <row r="162" spans="2:4">
      <c r="B162">
        <v>2</v>
      </c>
      <c r="C162">
        <f>IF(AND(F157&lt;C158,G157&gt;D158),(D158-F157),0)</f>
        <v>0</v>
      </c>
      <c r="D162" t="s">
        <v>35</v>
      </c>
    </row>
    <row r="163" spans="2:4">
      <c r="B163">
        <v>3</v>
      </c>
      <c r="C163">
        <f>IF(AND(F157&gt;C158,G157&gt;D158),(D158-C158),0)</f>
        <v>0</v>
      </c>
      <c r="D163" t="s">
        <v>36</v>
      </c>
    </row>
    <row r="164" spans="2:4">
      <c r="B164" s="9">
        <v>4</v>
      </c>
      <c r="C164" s="9">
        <f>IF(AND(F157&gt;C158,G157&lt;D158),(G157-$C$158),0)</f>
        <v>0</v>
      </c>
      <c r="D164" t="s">
        <v>37</v>
      </c>
    </row>
    <row r="165" spans="2:4">
      <c r="C165" s="2">
        <f>SUM(C161:C164)</f>
        <v>0</v>
      </c>
    </row>
    <row r="166" spans="2:4">
      <c r="C166" s="2"/>
    </row>
    <row r="167" spans="2:4">
      <c r="C167" s="2"/>
    </row>
    <row r="168" spans="2:4" ht="15">
      <c r="B168" s="63" t="s">
        <v>140</v>
      </c>
      <c r="C168" s="2"/>
      <c r="D168" s="20">
        <f>E244</f>
        <v>0</v>
      </c>
    </row>
    <row r="169" spans="2:4">
      <c r="C169" s="2"/>
    </row>
    <row r="170" spans="2:4">
      <c r="C170" s="2"/>
    </row>
    <row r="171" spans="2:4">
      <c r="C171" s="2"/>
    </row>
    <row r="172" spans="2:4">
      <c r="B172" s="2" t="s">
        <v>76</v>
      </c>
    </row>
    <row r="174" spans="2:4">
      <c r="B174" t="s">
        <v>77</v>
      </c>
    </row>
    <row r="175" spans="2:4">
      <c r="B175" t="s">
        <v>78</v>
      </c>
    </row>
    <row r="176" spans="2:4">
      <c r="B176" t="s">
        <v>56</v>
      </c>
    </row>
    <row r="177" spans="1:34">
      <c r="C177" s="2" t="e">
        <f>IF(Utslag!#REF!&gt;0,Utslag!#REF!,IF(Utslag!#REF!&lt;0,Utslag!#REF!,IF(Utslag!#REF!&gt;0,Utslag!#REF!,IF(Utslag!#REF!&lt;0,Utslag!#REF!,Utslag!F23))))</f>
        <v>#REF!</v>
      </c>
      <c r="E177" s="159" t="s">
        <v>184</v>
      </c>
      <c r="F177" t="s">
        <v>185</v>
      </c>
      <c r="G177" t="s">
        <v>186</v>
      </c>
    </row>
    <row r="178" spans="1:34">
      <c r="B178" t="s">
        <v>79</v>
      </c>
      <c r="C178">
        <f>IF(Utslag!B38&gt;49,9000,IF(Utslag!B38&gt;5,Utslag!B38*580,0))</f>
        <v>0</v>
      </c>
      <c r="E178">
        <v>580</v>
      </c>
      <c r="F178">
        <v>580</v>
      </c>
      <c r="G178">
        <v>9000</v>
      </c>
    </row>
    <row r="179" spans="1:34">
      <c r="C179" s="2" t="e">
        <f>IF(C177&gt;0,C177,IF(C177&lt;0,C177,C178))</f>
        <v>#REF!</v>
      </c>
    </row>
    <row r="180" spans="1:34">
      <c r="B180" t="s">
        <v>80</v>
      </c>
    </row>
    <row r="181" spans="1:34">
      <c r="C181" s="31" t="e">
        <f>IF(C179&gt;0,C179,IF(C179&lt;0,C179,Utslag!#REF!))</f>
        <v>#REF!</v>
      </c>
      <c r="D181" t="s">
        <v>81</v>
      </c>
    </row>
    <row r="183" spans="1:34">
      <c r="B183" t="s">
        <v>187</v>
      </c>
      <c r="C183" t="e">
        <f>IF(Utslag!#REF!+C178+Utslag!#REF!=0,Utslag!F23+Utslag!#REF!,0)</f>
        <v>#REF!</v>
      </c>
    </row>
    <row r="184" spans="1:34">
      <c r="B184" t="s">
        <v>188</v>
      </c>
      <c r="C184" t="e">
        <f>IF(Utslag!F23+Utslag!#REF!+C178+Utslag!#REF!=0,Utslag!#REF!,0)</f>
        <v>#REF!</v>
      </c>
    </row>
    <row r="185" spans="1:34">
      <c r="B185" t="s">
        <v>189</v>
      </c>
      <c r="C185" t="e">
        <f>IF(Utslag!F23+Utslag!#REF!+Utslag!#REF!+Utslag!#REF!=0,C178,0)</f>
        <v>#REF!</v>
      </c>
    </row>
    <row r="186" spans="1:34">
      <c r="B186" t="s">
        <v>190</v>
      </c>
      <c r="C186" t="e">
        <f>IF(Utslag!F23+Utslag!#REF!+Utslag!#REF!+C178=0,Utslag!#REF!,0)</f>
        <v>#REF!</v>
      </c>
    </row>
    <row r="187" spans="1:34">
      <c r="B187" t="s">
        <v>191</v>
      </c>
      <c r="C187" t="e">
        <f>IF(AND(Utslag!F23&gt;0,Utslag!#REF!&gt;0),0,Utslag!F23)</f>
        <v>#REF!</v>
      </c>
      <c r="F187" s="2"/>
    </row>
    <row r="188" spans="1:34">
      <c r="B188" t="s">
        <v>192</v>
      </c>
      <c r="C188" t="e">
        <f>IF(AND(Utslag!F23&gt;0,Utslag!#REF!&gt;0),0,IF(AND(Utslag!B38&gt;6,Utslag!B38&lt;50,Utslag!B38*2000),IF(Utslag!B38&gt;50,80000),0))</f>
        <v>#REF!</v>
      </c>
    </row>
    <row r="192" spans="1:34" ht="16.5" customHeight="1">
      <c r="A192" s="24" t="s">
        <v>4</v>
      </c>
      <c r="B192" s="28">
        <v>0</v>
      </c>
      <c r="C192" s="25" t="s">
        <v>5</v>
      </c>
      <c r="D192" s="10"/>
      <c r="E192" s="10"/>
      <c r="F192" s="10"/>
      <c r="G192" s="10"/>
      <c r="H192" s="10"/>
      <c r="I192" s="2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 customHeight="1">
      <c r="A193" s="24" t="s">
        <v>57</v>
      </c>
      <c r="B193" s="28">
        <v>0</v>
      </c>
      <c r="C193" s="25" t="s">
        <v>55</v>
      </c>
      <c r="D193" s="10"/>
      <c r="E193" s="10"/>
      <c r="F193" s="10"/>
      <c r="G193" s="10"/>
      <c r="H193" s="10"/>
      <c r="I193" s="2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5" spans="1:34" ht="16.5" customHeight="1">
      <c r="A195" s="24" t="s">
        <v>16</v>
      </c>
      <c r="B195" s="28">
        <v>0</v>
      </c>
      <c r="C195" s="25" t="s">
        <v>5</v>
      </c>
      <c r="D195" s="10"/>
      <c r="E195" s="10"/>
      <c r="F195" s="10"/>
      <c r="G195" s="10"/>
      <c r="H195" s="10"/>
      <c r="I195" s="2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 customHeight="1">
      <c r="A196" s="24" t="s">
        <v>60</v>
      </c>
      <c r="B196" s="28">
        <v>0</v>
      </c>
      <c r="C196" s="25" t="s">
        <v>5</v>
      </c>
      <c r="D196" s="10"/>
      <c r="E196" s="10"/>
      <c r="F196" s="10"/>
      <c r="G196" s="10"/>
      <c r="H196" s="10"/>
      <c r="I196" s="2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 customHeight="1">
      <c r="A197" s="24" t="s">
        <v>7</v>
      </c>
      <c r="B197" s="28">
        <v>0</v>
      </c>
      <c r="C197" s="25" t="s">
        <v>5</v>
      </c>
      <c r="D197" s="10"/>
      <c r="E197" s="10"/>
      <c r="F197" s="10"/>
      <c r="G197" s="10"/>
      <c r="H197" s="10"/>
      <c r="I197" s="2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9" spans="1:34" ht="16.5" customHeight="1">
      <c r="A199" s="24" t="s">
        <v>10</v>
      </c>
      <c r="B199" s="28">
        <v>0</v>
      </c>
      <c r="C199" s="25" t="s">
        <v>5</v>
      </c>
      <c r="D199" s="10"/>
      <c r="E199" s="10"/>
      <c r="F199" s="10"/>
      <c r="G199" s="10"/>
      <c r="H199" s="10"/>
      <c r="I199" s="2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5.75" customHeight="1">
      <c r="A200" s="24" t="s">
        <v>11</v>
      </c>
      <c r="B200" s="27">
        <v>0</v>
      </c>
      <c r="C200" s="25" t="s">
        <v>5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5">
      <c r="A201" s="24" t="s">
        <v>12</v>
      </c>
      <c r="B201" s="23">
        <v>0</v>
      </c>
      <c r="C201" s="25" t="s">
        <v>5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4" spans="1:34">
      <c r="A204" s="78" t="s">
        <v>46</v>
      </c>
      <c r="B204" s="42"/>
      <c r="C204" s="50"/>
      <c r="D204" s="50"/>
      <c r="E204" s="87"/>
    </row>
    <row r="205" spans="1:34">
      <c r="A205" s="71" t="s">
        <v>20</v>
      </c>
      <c r="B205" s="4" t="s">
        <v>21</v>
      </c>
      <c r="C205" s="4" t="s">
        <v>22</v>
      </c>
      <c r="D205" s="4" t="s">
        <v>0</v>
      </c>
      <c r="E205" s="72" t="s">
        <v>1</v>
      </c>
    </row>
    <row r="206" spans="1:34">
      <c r="A206" s="71" t="s">
        <v>4</v>
      </c>
      <c r="B206" s="5"/>
      <c r="C206" s="17"/>
      <c r="D206" s="17"/>
      <c r="E206" s="88"/>
    </row>
    <row r="207" spans="1:34">
      <c r="A207" s="73" t="s">
        <v>23</v>
      </c>
      <c r="B207" s="5">
        <f>IF(Utslag!B37&lt;9,Utslag!B37,8)</f>
        <v>0</v>
      </c>
      <c r="C207" s="52">
        <f>D111-C111</f>
        <v>149</v>
      </c>
      <c r="D207" s="54">
        <f>B207*C207</f>
        <v>0</v>
      </c>
      <c r="E207" s="88"/>
    </row>
    <row r="208" spans="1:34">
      <c r="A208" s="73" t="s">
        <v>44</v>
      </c>
      <c r="B208" s="5">
        <f>IF(Utslag!B37&lt;9,0,Utslag!B37-8)</f>
        <v>0</v>
      </c>
      <c r="C208" s="52">
        <f>D112-C112</f>
        <v>101</v>
      </c>
      <c r="D208" s="54">
        <f>B208*C208</f>
        <v>0</v>
      </c>
      <c r="E208" s="89">
        <f>SUM(D207:D208)</f>
        <v>0</v>
      </c>
    </row>
    <row r="209" spans="1:5">
      <c r="A209" s="90"/>
      <c r="B209" s="5"/>
      <c r="C209" s="52"/>
      <c r="D209" s="54"/>
      <c r="E209" s="88"/>
    </row>
    <row r="210" spans="1:5">
      <c r="A210" s="90"/>
      <c r="B210" s="5"/>
      <c r="C210" s="52"/>
      <c r="D210" s="54"/>
      <c r="E210" s="88"/>
    </row>
    <row r="211" spans="1:5">
      <c r="A211" s="69" t="s">
        <v>6</v>
      </c>
      <c r="B211" s="5"/>
      <c r="C211" s="17"/>
      <c r="D211" s="54"/>
      <c r="E211" s="88"/>
    </row>
    <row r="212" spans="1:5">
      <c r="A212" s="73" t="s">
        <v>115</v>
      </c>
      <c r="B212" s="5">
        <f>Utslag!B39</f>
        <v>0</v>
      </c>
      <c r="C212" s="52">
        <f>D115-C115</f>
        <v>22</v>
      </c>
      <c r="D212" s="54">
        <f>B212*C212</f>
        <v>0</v>
      </c>
      <c r="E212" s="88"/>
    </row>
    <row r="213" spans="1:5">
      <c r="A213" s="73"/>
      <c r="B213" s="5"/>
      <c r="C213" s="52"/>
      <c r="D213" s="54"/>
      <c r="E213" s="89">
        <f>SUM(D212:D214)</f>
        <v>0</v>
      </c>
    </row>
    <row r="214" spans="1:5">
      <c r="A214" s="74"/>
      <c r="B214" s="5"/>
      <c r="C214" s="52"/>
      <c r="D214" s="54"/>
      <c r="E214" s="88"/>
    </row>
    <row r="215" spans="1:5">
      <c r="A215" s="69" t="s">
        <v>148</v>
      </c>
      <c r="B215" s="5"/>
      <c r="C215" s="52"/>
      <c r="D215" s="54"/>
      <c r="E215" s="88"/>
    </row>
    <row r="216" spans="1:5">
      <c r="A216" s="73" t="s">
        <v>25</v>
      </c>
      <c r="B216" s="5">
        <f>IF(Utslag!B40&lt;41,Utslag!B40,40)</f>
        <v>0</v>
      </c>
      <c r="C216" s="52">
        <f>D118-C118</f>
        <v>35</v>
      </c>
      <c r="D216" s="54">
        <f>B216*C216</f>
        <v>0</v>
      </c>
      <c r="E216" s="88"/>
    </row>
    <row r="217" spans="1:5">
      <c r="A217" s="74" t="s">
        <v>45</v>
      </c>
      <c r="B217" s="5">
        <f>IF(Utslag!B40&lt;41,0,Utslag!B40-Satser!B216)</f>
        <v>0</v>
      </c>
      <c r="C217" s="52">
        <f>D119-C119</f>
        <v>24</v>
      </c>
      <c r="D217" s="54">
        <f>B217*C217</f>
        <v>0</v>
      </c>
      <c r="E217" s="88"/>
    </row>
    <row r="218" spans="1:5">
      <c r="A218" s="73"/>
      <c r="B218" s="5"/>
      <c r="C218" s="52"/>
      <c r="D218" s="54"/>
      <c r="E218" s="89">
        <f>SUM(D216:D217)</f>
        <v>0</v>
      </c>
    </row>
    <row r="219" spans="1:5">
      <c r="A219" s="69" t="s">
        <v>8</v>
      </c>
      <c r="B219" s="5"/>
      <c r="C219" s="52"/>
      <c r="D219" s="54"/>
      <c r="E219" s="88"/>
    </row>
    <row r="220" spans="1:5">
      <c r="A220" s="73" t="s">
        <v>115</v>
      </c>
      <c r="B220" s="5">
        <f>Utslag!B41</f>
        <v>0</v>
      </c>
      <c r="C220" s="52">
        <f>D122-C122</f>
        <v>19</v>
      </c>
      <c r="D220" s="54">
        <f>B220*C220</f>
        <v>0</v>
      </c>
      <c r="E220" s="88"/>
    </row>
    <row r="221" spans="1:5">
      <c r="A221" s="73"/>
      <c r="B221" s="5"/>
      <c r="C221" s="52"/>
      <c r="D221" s="54"/>
      <c r="E221" s="89">
        <f>D220</f>
        <v>0</v>
      </c>
    </row>
    <row r="222" spans="1:5">
      <c r="A222" s="90"/>
      <c r="B222" s="5"/>
      <c r="C222" s="52"/>
      <c r="D222" s="54"/>
      <c r="E222" s="88"/>
    </row>
    <row r="223" spans="1:5">
      <c r="A223" s="69" t="s">
        <v>16</v>
      </c>
      <c r="B223" s="5"/>
      <c r="C223" s="17"/>
      <c r="D223" s="54"/>
      <c r="E223" s="88"/>
    </row>
    <row r="224" spans="1:5">
      <c r="A224" s="91" t="s">
        <v>115</v>
      </c>
      <c r="B224" s="5">
        <f>Utslag!B38</f>
        <v>0</v>
      </c>
      <c r="C224" s="52">
        <f>D125-C125</f>
        <v>36</v>
      </c>
      <c r="D224" s="54">
        <f>B224*C224</f>
        <v>0</v>
      </c>
      <c r="E224" s="88"/>
    </row>
    <row r="225" spans="1:5">
      <c r="A225" s="74"/>
      <c r="B225" s="5"/>
      <c r="C225" s="52"/>
      <c r="D225" s="54"/>
      <c r="E225" s="89">
        <f>D224</f>
        <v>0</v>
      </c>
    </row>
    <row r="226" spans="1:5">
      <c r="A226" s="73"/>
      <c r="B226" s="5"/>
      <c r="C226" s="52"/>
      <c r="D226" s="54"/>
      <c r="E226" s="89"/>
    </row>
    <row r="227" spans="1:5">
      <c r="A227" s="69" t="s">
        <v>10</v>
      </c>
      <c r="B227" s="5"/>
      <c r="C227" s="17"/>
      <c r="D227" s="54"/>
      <c r="E227" s="88"/>
    </row>
    <row r="228" spans="1:5">
      <c r="A228" s="91" t="s">
        <v>115</v>
      </c>
      <c r="B228" s="5">
        <f>Utslag!B43</f>
        <v>0</v>
      </c>
      <c r="C228" s="52">
        <f>D128-C128</f>
        <v>43</v>
      </c>
      <c r="D228" s="54">
        <f>B228*C228</f>
        <v>0</v>
      </c>
      <c r="E228" s="88"/>
    </row>
    <row r="229" spans="1:5">
      <c r="A229" s="74"/>
      <c r="B229" s="5"/>
      <c r="C229" s="52"/>
      <c r="D229" s="54"/>
      <c r="E229" s="89">
        <f>D228</f>
        <v>0</v>
      </c>
    </row>
    <row r="230" spans="1:5">
      <c r="A230" s="90"/>
      <c r="B230" s="17"/>
      <c r="C230" s="17"/>
      <c r="D230" s="17"/>
      <c r="E230" s="88"/>
    </row>
    <row r="231" spans="1:5">
      <c r="A231" s="90"/>
      <c r="B231" s="17"/>
      <c r="C231" s="17"/>
      <c r="D231" s="17"/>
      <c r="E231" s="88"/>
    </row>
    <row r="232" spans="1:5">
      <c r="A232" s="69" t="s">
        <v>11</v>
      </c>
      <c r="B232" s="5"/>
      <c r="C232" s="52"/>
      <c r="D232" s="54"/>
      <c r="E232" s="88"/>
    </row>
    <row r="233" spans="1:5">
      <c r="A233" s="91" t="s">
        <v>115</v>
      </c>
      <c r="B233" s="5">
        <f>Utslag!B44</f>
        <v>0</v>
      </c>
      <c r="C233" s="52">
        <f>D131-C131</f>
        <v>1</v>
      </c>
      <c r="D233" s="54">
        <f>B233*C233</f>
        <v>0</v>
      </c>
      <c r="E233" s="88"/>
    </row>
    <row r="234" spans="1:5">
      <c r="A234" s="91"/>
      <c r="B234" s="5"/>
      <c r="C234" s="52"/>
      <c r="D234" s="54"/>
      <c r="E234" s="89">
        <f>D233</f>
        <v>0</v>
      </c>
    </row>
    <row r="235" spans="1:5">
      <c r="A235" s="91"/>
      <c r="B235" s="5"/>
      <c r="C235" s="52"/>
      <c r="D235" s="54"/>
      <c r="E235" s="88"/>
    </row>
    <row r="236" spans="1:5">
      <c r="A236" s="69" t="s">
        <v>12</v>
      </c>
      <c r="B236" s="5"/>
      <c r="C236" s="52"/>
      <c r="D236" s="54"/>
      <c r="E236" s="88"/>
    </row>
    <row r="237" spans="1:5">
      <c r="A237" s="73" t="s">
        <v>115</v>
      </c>
      <c r="B237" s="5">
        <f>Utslag!B45</f>
        <v>0</v>
      </c>
      <c r="C237" s="92">
        <f>D134-C134</f>
        <v>0.40000000000000036</v>
      </c>
      <c r="D237" s="54">
        <f>B237*C237</f>
        <v>0</v>
      </c>
      <c r="E237" s="88"/>
    </row>
    <row r="238" spans="1:5">
      <c r="A238" s="74"/>
      <c r="B238" s="5"/>
      <c r="C238" s="92"/>
      <c r="D238" s="54"/>
      <c r="E238" s="89">
        <f>D237</f>
        <v>0</v>
      </c>
    </row>
    <row r="239" spans="1:5">
      <c r="A239" s="90"/>
      <c r="B239" s="17"/>
      <c r="C239" s="17"/>
      <c r="D239" s="17"/>
      <c r="E239" s="88"/>
    </row>
    <row r="240" spans="1:5">
      <c r="A240" s="69" t="s">
        <v>136</v>
      </c>
      <c r="B240" s="17"/>
      <c r="C240" s="17"/>
      <c r="D240" s="17"/>
      <c r="E240" s="88"/>
    </row>
    <row r="241" spans="1:7">
      <c r="A241" s="90"/>
      <c r="B241" s="17">
        <f>Satser!C312</f>
        <v>0</v>
      </c>
      <c r="C241" s="92">
        <f>D149-C149</f>
        <v>2.0000000000000018E-2</v>
      </c>
      <c r="D241" s="17">
        <f>B241*C241</f>
        <v>0</v>
      </c>
      <c r="E241" s="88"/>
    </row>
    <row r="242" spans="1:7">
      <c r="A242" s="90"/>
      <c r="B242" s="17"/>
      <c r="C242" s="17"/>
      <c r="D242" s="17"/>
      <c r="E242" s="79">
        <f>D241</f>
        <v>0</v>
      </c>
    </row>
    <row r="243" spans="1:7">
      <c r="A243" s="90"/>
      <c r="B243" s="17"/>
      <c r="C243" s="17"/>
      <c r="D243" s="17"/>
      <c r="E243" s="88"/>
    </row>
    <row r="244" spans="1:7">
      <c r="A244" s="71" t="s">
        <v>137</v>
      </c>
      <c r="B244" s="4"/>
      <c r="C244" s="4"/>
      <c r="D244" s="4"/>
      <c r="E244" s="93">
        <f>SUM(E208:E242)</f>
        <v>0</v>
      </c>
    </row>
    <row r="247" spans="1:7">
      <c r="B247" t="s">
        <v>162</v>
      </c>
      <c r="D247" t="s">
        <v>165</v>
      </c>
      <c r="E247" t="s">
        <v>166</v>
      </c>
      <c r="G247" t="s">
        <v>30</v>
      </c>
    </row>
    <row r="249" spans="1:7">
      <c r="B249" t="s">
        <v>62</v>
      </c>
      <c r="C249" s="158">
        <v>0</v>
      </c>
      <c r="E249">
        <f>Utslag!B33+Utslag!B34+Utslag!B35</f>
        <v>0</v>
      </c>
      <c r="G249">
        <f>E249*C249</f>
        <v>0</v>
      </c>
    </row>
    <row r="250" spans="1:7">
      <c r="B250" t="s">
        <v>38</v>
      </c>
      <c r="C250" s="158">
        <v>0</v>
      </c>
      <c r="E250">
        <f>Utslag!B30</f>
        <v>0</v>
      </c>
      <c r="G250">
        <f t="shared" ref="G250:G258" si="3">E250*C250</f>
        <v>0</v>
      </c>
    </row>
    <row r="251" spans="1:7">
      <c r="B251" t="s">
        <v>48</v>
      </c>
      <c r="C251" s="158">
        <v>0</v>
      </c>
      <c r="E251">
        <f>Utslag!B29</f>
        <v>0</v>
      </c>
      <c r="G251">
        <f t="shared" si="3"/>
        <v>0</v>
      </c>
    </row>
    <row r="252" spans="1:7">
      <c r="B252" t="s">
        <v>47</v>
      </c>
      <c r="C252" s="158">
        <v>0</v>
      </c>
      <c r="E252">
        <f>Utslag!B32+Utslag!B31*0.6</f>
        <v>0</v>
      </c>
      <c r="G252">
        <f t="shared" si="3"/>
        <v>0</v>
      </c>
    </row>
    <row r="253" spans="1:7">
      <c r="B253" t="s">
        <v>182</v>
      </c>
      <c r="C253" s="158">
        <v>0</v>
      </c>
      <c r="D253">
        <v>0</v>
      </c>
      <c r="E253">
        <f>Utslag!B37</f>
        <v>0</v>
      </c>
      <c r="G253">
        <f t="shared" si="3"/>
        <v>0</v>
      </c>
    </row>
    <row r="254" spans="1:7">
      <c r="B254" t="s">
        <v>16</v>
      </c>
      <c r="C254" s="158">
        <v>0</v>
      </c>
      <c r="D254">
        <v>0</v>
      </c>
      <c r="E254">
        <f>Utslag!B38</f>
        <v>0</v>
      </c>
      <c r="G254">
        <f t="shared" si="3"/>
        <v>0</v>
      </c>
    </row>
    <row r="255" spans="1:7">
      <c r="B255" t="s">
        <v>163</v>
      </c>
      <c r="C255" s="158">
        <v>0</v>
      </c>
      <c r="D255">
        <v>0</v>
      </c>
      <c r="E255">
        <f>Utslag!B39</f>
        <v>0</v>
      </c>
      <c r="G255">
        <f t="shared" si="3"/>
        <v>0</v>
      </c>
    </row>
    <row r="256" spans="1:7">
      <c r="B256" t="s">
        <v>183</v>
      </c>
      <c r="C256" s="158">
        <v>0</v>
      </c>
      <c r="D256">
        <v>0</v>
      </c>
      <c r="E256">
        <f>Utslag!B41</f>
        <v>0</v>
      </c>
      <c r="G256">
        <f>E256*C256</f>
        <v>0</v>
      </c>
    </row>
    <row r="257" spans="2:8">
      <c r="B257" t="s">
        <v>164</v>
      </c>
      <c r="C257" s="158">
        <v>0</v>
      </c>
      <c r="D257">
        <v>0</v>
      </c>
      <c r="E257">
        <f>Utslag!B43</f>
        <v>0</v>
      </c>
      <c r="G257">
        <f t="shared" si="3"/>
        <v>0</v>
      </c>
    </row>
    <row r="258" spans="2:8">
      <c r="B258" t="s">
        <v>11</v>
      </c>
      <c r="C258" s="158">
        <v>0</v>
      </c>
      <c r="D258" s="5">
        <v>0</v>
      </c>
      <c r="E258" s="1">
        <f>Utslag!B44</f>
        <v>0</v>
      </c>
      <c r="F258" s="18"/>
      <c r="G258">
        <f t="shared" si="3"/>
        <v>0</v>
      </c>
      <c r="H258" s="20"/>
    </row>
    <row r="259" spans="2:8">
      <c r="D259" s="5"/>
      <c r="E259" s="1"/>
      <c r="F259" s="18" t="s">
        <v>167</v>
      </c>
      <c r="G259" s="19">
        <f>SUM(G249:G258)</f>
        <v>0</v>
      </c>
      <c r="H259" s="19"/>
    </row>
    <row r="260" spans="2:8">
      <c r="D260" s="5"/>
      <c r="E260" s="1"/>
      <c r="F260" s="18"/>
      <c r="G260" s="19"/>
      <c r="H260" s="20">
        <f>H259+G259</f>
        <v>0</v>
      </c>
    </row>
    <row r="261" spans="2:8">
      <c r="D261" s="5"/>
      <c r="E261" s="1"/>
      <c r="F261" s="18"/>
      <c r="G261" s="19"/>
      <c r="H261" s="20"/>
    </row>
    <row r="262" spans="2:8">
      <c r="D262" s="1"/>
      <c r="E262" s="1"/>
      <c r="F262" s="7"/>
    </row>
    <row r="263" spans="2:8">
      <c r="C263" t="s">
        <v>194</v>
      </c>
      <c r="D263" s="160" t="s">
        <v>174</v>
      </c>
      <c r="E263" s="160" t="s">
        <v>56</v>
      </c>
      <c r="F263" s="160" t="s">
        <v>16</v>
      </c>
      <c r="G263" s="160" t="s">
        <v>193</v>
      </c>
    </row>
    <row r="264" spans="2:8">
      <c r="C264" t="s">
        <v>195</v>
      </c>
      <c r="D264">
        <f>D265/5</f>
        <v>23200</v>
      </c>
      <c r="E264">
        <v>4518</v>
      </c>
      <c r="F264">
        <v>0</v>
      </c>
      <c r="G264">
        <v>0</v>
      </c>
    </row>
    <row r="265" spans="2:8">
      <c r="C265" t="s">
        <v>196</v>
      </c>
      <c r="D265">
        <f>IF(Utslag!B4&gt;5,122000,IF(Utslag!B4=2,109000,116000))</f>
        <v>116000</v>
      </c>
      <c r="E265">
        <v>122000</v>
      </c>
      <c r="F265">
        <v>0</v>
      </c>
      <c r="G265">
        <v>0</v>
      </c>
    </row>
    <row r="266" spans="2:8">
      <c r="C266" t="s">
        <v>197</v>
      </c>
    </row>
    <row r="267" spans="2:8">
      <c r="C267" t="s">
        <v>195</v>
      </c>
      <c r="D267">
        <f>IF(Utslag!B4&lt;6,23200,24400)</f>
        <v>23200</v>
      </c>
      <c r="E267">
        <v>4518</v>
      </c>
      <c r="F267">
        <v>0</v>
      </c>
      <c r="G267">
        <v>0</v>
      </c>
    </row>
    <row r="268" spans="2:8">
      <c r="C268" t="s">
        <v>196</v>
      </c>
      <c r="D268">
        <f>IF(Utslag!B4&gt;5,130000,IF(Utslag!B4=2,115000,122000))</f>
        <v>122000</v>
      </c>
      <c r="E268">
        <v>130000</v>
      </c>
      <c r="F268">
        <v>0</v>
      </c>
      <c r="G268">
        <v>0</v>
      </c>
    </row>
    <row r="270" spans="2:8">
      <c r="C270" t="s">
        <v>198</v>
      </c>
    </row>
    <row r="271" spans="2:8">
      <c r="C271" t="s">
        <v>194</v>
      </c>
      <c r="D271">
        <f>IF(Utslag!$B$37&lt;5,Utslag!$B$37*Satser!D$264,Satser!D$265)</f>
        <v>0</v>
      </c>
      <c r="E271">
        <f>IF(Utslag!$B$40&lt;27,Utslag!$B$40*Satser!E$264,Satser!E$265)</f>
        <v>0</v>
      </c>
      <c r="F271">
        <f>IF(Utslag!$B$38&lt;6,0,IF(Utslag!$B$38&lt;50,Utslag!$B$38*Satser!F$264,Satser!F$265))</f>
        <v>0</v>
      </c>
      <c r="G271">
        <f>IF(Utslag!$B$41&lt;10,0,IF(Utslag!$B$41&lt;50,Utslag!$B$41*Satser!G$264,Satser!G$265))</f>
        <v>0</v>
      </c>
      <c r="H271">
        <f>MAX(D271:G271)</f>
        <v>0</v>
      </c>
    </row>
    <row r="272" spans="2:8">
      <c r="C272" t="s">
        <v>199</v>
      </c>
      <c r="D272">
        <f>IF(Utslag!$B$37&lt;5,Utslag!$B$37*Satser!D$267,Satser!D$268)</f>
        <v>0</v>
      </c>
      <c r="E272">
        <f>IF(Utslag!$B$40&lt;27,Utslag!$B$40*Satser!E$267,Satser!E$268)</f>
        <v>0</v>
      </c>
      <c r="F272">
        <f>IF(Utslag!$B$38&lt;6,0,IF(Utslag!$B$38&lt;50,Utslag!$B$38*Satser!F$267,Satser!F$268))</f>
        <v>0</v>
      </c>
      <c r="G272">
        <f>IF(Utslag!$B$41&lt;10,0,IF(Utslag!$B$41&lt;50,Utslag!$B$41*Satser!G$267,Satser!G$268))</f>
        <v>0</v>
      </c>
      <c r="H272">
        <f>MAX(D272:G272)</f>
        <v>0</v>
      </c>
    </row>
    <row r="273" spans="2:11">
      <c r="C273" t="s">
        <v>200</v>
      </c>
      <c r="D273">
        <f>IF($H$272=D272,0,D272)</f>
        <v>0</v>
      </c>
      <c r="E273">
        <f>IF($H$272=E272,0,E272)</f>
        <v>0</v>
      </c>
      <c r="F273">
        <f>IF($H$272=F272,0,F272)</f>
        <v>0</v>
      </c>
      <c r="G273">
        <f>IF($H$272=G272,0,G272)</f>
        <v>0</v>
      </c>
      <c r="H273">
        <f>MAX(D273:G273)</f>
        <v>0</v>
      </c>
    </row>
    <row r="274" spans="2:11">
      <c r="C274" s="64" t="s">
        <v>201</v>
      </c>
      <c r="D274" s="64"/>
      <c r="E274" s="64"/>
      <c r="F274" s="64"/>
      <c r="G274" s="64"/>
      <c r="H274" s="64">
        <f>SUM(H272:H273)-H271</f>
        <v>0</v>
      </c>
    </row>
    <row r="277" spans="2:11">
      <c r="H277" s="187" t="s">
        <v>212</v>
      </c>
      <c r="J277" s="187" t="s">
        <v>213</v>
      </c>
      <c r="K277">
        <v>3</v>
      </c>
    </row>
    <row r="278" spans="2:11">
      <c r="G278" s="187" t="s">
        <v>174</v>
      </c>
      <c r="H278" s="188">
        <v>3600</v>
      </c>
      <c r="I278" s="188">
        <v>18000</v>
      </c>
      <c r="J278" s="188">
        <v>0</v>
      </c>
      <c r="K278" s="188">
        <v>0</v>
      </c>
    </row>
    <row r="279" spans="2:11">
      <c r="G279" s="187" t="s">
        <v>56</v>
      </c>
      <c r="H279" s="188">
        <v>667</v>
      </c>
      <c r="I279" s="188">
        <v>18000</v>
      </c>
      <c r="J279" s="188"/>
      <c r="K279" s="188"/>
    </row>
    <row r="280" spans="2:11">
      <c r="G280" s="187" t="s">
        <v>16</v>
      </c>
      <c r="H280" s="188">
        <v>360</v>
      </c>
      <c r="I280" s="188">
        <v>18000</v>
      </c>
      <c r="J280" s="188"/>
      <c r="K280" s="188"/>
    </row>
    <row r="282" spans="2:11">
      <c r="B282" t="s">
        <v>208</v>
      </c>
      <c r="C282" s="172">
        <v>39630</v>
      </c>
      <c r="D282" s="172">
        <v>39448</v>
      </c>
      <c r="G282" s="187" t="s">
        <v>174</v>
      </c>
      <c r="H282">
        <f>H274</f>
        <v>0</v>
      </c>
    </row>
    <row r="283" spans="2:11">
      <c r="B283" s="127" t="s">
        <v>174</v>
      </c>
      <c r="C283" s="128">
        <v>0.23</v>
      </c>
      <c r="D283" s="173">
        <v>0</v>
      </c>
      <c r="G283" s="187" t="s">
        <v>16</v>
      </c>
      <c r="H283" s="189">
        <f>IF(Utslag!B38&lt;6,0,IF(Utslag!B38&lt;40,100*Utslag!B38,IF(Utslag!B38&lt;50,0*Utslag!B38+4000,4000)))</f>
        <v>0</v>
      </c>
    </row>
    <row r="284" spans="2:11">
      <c r="B284" s="131" t="s">
        <v>6</v>
      </c>
      <c r="C284" s="132">
        <v>0</v>
      </c>
      <c r="D284" s="173">
        <v>0</v>
      </c>
      <c r="G284" s="187"/>
    </row>
    <row r="285" spans="2:11">
      <c r="B285" s="131" t="s">
        <v>84</v>
      </c>
      <c r="C285" s="132">
        <v>0</v>
      </c>
      <c r="D285" s="173">
        <v>0</v>
      </c>
    </row>
    <row r="286" spans="2:11">
      <c r="B286" s="131" t="s">
        <v>144</v>
      </c>
      <c r="C286" s="132">
        <v>0</v>
      </c>
      <c r="D286" s="173"/>
    </row>
    <row r="287" spans="2:11">
      <c r="B287" s="131" t="s">
        <v>86</v>
      </c>
      <c r="C287" s="132">
        <v>3.5</v>
      </c>
      <c r="D287" s="173">
        <v>0</v>
      </c>
    </row>
    <row r="288" spans="2:11">
      <c r="B288" s="131" t="s">
        <v>129</v>
      </c>
      <c r="C288" s="132">
        <v>0.2</v>
      </c>
      <c r="D288" s="173">
        <v>0</v>
      </c>
    </row>
    <row r="289" spans="2:4">
      <c r="B289" s="131" t="s">
        <v>178</v>
      </c>
      <c r="C289" s="132">
        <v>0.18</v>
      </c>
      <c r="D289" s="173"/>
    </row>
    <row r="290" spans="2:4">
      <c r="B290" s="131" t="s">
        <v>179</v>
      </c>
      <c r="C290" s="132">
        <v>0.18</v>
      </c>
      <c r="D290" s="173"/>
    </row>
    <row r="291" spans="2:4">
      <c r="B291" s="131" t="s">
        <v>71</v>
      </c>
      <c r="C291" s="132">
        <v>0.25</v>
      </c>
      <c r="D291" s="173"/>
    </row>
    <row r="292" spans="2:4">
      <c r="B292" s="131" t="s">
        <v>85</v>
      </c>
      <c r="C292" s="132">
        <v>0</v>
      </c>
      <c r="D292" s="173">
        <v>0</v>
      </c>
    </row>
    <row r="293" spans="2:4">
      <c r="B293" s="131" t="s">
        <v>38</v>
      </c>
      <c r="C293" s="132">
        <v>0.25</v>
      </c>
      <c r="D293" s="173">
        <v>0</v>
      </c>
    </row>
    <row r="294" spans="2:4">
      <c r="B294" s="186" t="s">
        <v>154</v>
      </c>
      <c r="C294" s="195">
        <v>2.7E-2</v>
      </c>
      <c r="D294" s="174">
        <v>0</v>
      </c>
    </row>
    <row r="295" spans="2:4">
      <c r="B295" s="186" t="s">
        <v>62</v>
      </c>
      <c r="C295" s="134">
        <v>2.7E-2</v>
      </c>
      <c r="D295" s="174">
        <v>0</v>
      </c>
    </row>
    <row r="299" spans="2:4">
      <c r="B299" t="s">
        <v>210</v>
      </c>
      <c r="C299">
        <v>0.15</v>
      </c>
    </row>
    <row r="301" spans="2:4">
      <c r="B301" t="s">
        <v>82</v>
      </c>
      <c r="C301">
        <v>0</v>
      </c>
    </row>
    <row r="305" spans="2:4">
      <c r="C305">
        <f>1.5</f>
        <v>1.5</v>
      </c>
    </row>
    <row r="306" spans="2:4">
      <c r="C306">
        <v>26.22</v>
      </c>
    </row>
    <row r="307" spans="2:4">
      <c r="C307">
        <f>C305/C306</f>
        <v>5.7208237986270026E-2</v>
      </c>
    </row>
    <row r="312" spans="2:4">
      <c r="B312" s="140" t="s">
        <v>120</v>
      </c>
      <c r="C312" s="165"/>
      <c r="D312" s="133" t="s">
        <v>5</v>
      </c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"/>
  <sheetViews>
    <sheetView topLeftCell="A7" workbookViewId="0"/>
  </sheetViews>
  <sheetFormatPr baseColWidth="10" defaultColWidth="9.140625" defaultRowHeight="12.75"/>
  <sheetData/>
  <customSheetViews>
    <customSheetView guid="{CCA592C6-FA5B-4C3F-AAFD-7D399E08D11C}" state="hidden" topLeftCell="A7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7</vt:i4>
      </vt:variant>
    </vt:vector>
  </HeadingPairs>
  <TitlesOfParts>
    <vt:vector size="26" baseType="lpstr">
      <vt:lpstr>tilbud</vt:lpstr>
      <vt:lpstr>Utslag</vt:lpstr>
      <vt:lpstr>Satser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Astrid Simengård</cp:lastModifiedBy>
  <cp:lastPrinted>2013-05-13T11:06:26Z</cp:lastPrinted>
  <dcterms:created xsi:type="dcterms:W3CDTF">2000-05-18T12:37:17Z</dcterms:created>
  <dcterms:modified xsi:type="dcterms:W3CDTF">2013-05-16T08:41:46Z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