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xr:revisionPtr revIDLastSave="0" documentId="8_{033F6C39-EBDF-4BF0-AA0A-714A7D3F4094}" xr6:coauthVersionLast="47" xr6:coauthVersionMax="47" xr10:uidLastSave="{00000000-0000-0000-0000-000000000000}"/>
  <bookViews>
    <workbookView xWindow="28680" yWindow="-120" windowWidth="29040" windowHeight="1764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Satser!$B$3:$J$19</definedName>
    <definedName name="arealtilsk">Satser!#REF!</definedName>
    <definedName name="Avlsgris">Satser!#REF!</definedName>
    <definedName name="dismelk">tilbud!$N$24:$O$33</definedName>
    <definedName name="distrmelk">Satser!$N$112</definedName>
    <definedName name="DKfrukt">Satser!#REF!</definedName>
    <definedName name="Dmelk">Satser!$L$108:$X$109</definedName>
    <definedName name="Grovfor">Satser!#REF!</definedName>
    <definedName name="Grovfor2">Satser!#REF!</definedName>
    <definedName name="innm">tilbud!$L$3:$R$5</definedName>
    <definedName name="melk">Satser!$M$108:$Y$110</definedName>
    <definedName name="nyttak">Satser!$A$65:$J$67</definedName>
    <definedName name="pleie">Satser!$A$43:$J$47</definedName>
    <definedName name="_xlnm.Print_Area" localSheetId="1">Utslag!$A$1:$F$98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Utslag!$A$1:$F$98</definedName>
    <definedName name="Z_CCA592C6_FA5B_4C3F_AAFD_7D399E08D11C_.wvu.Rows" localSheetId="1" hidden="1">Utslag!$132:$132,Utslag!#REF!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2" l="1"/>
  <c r="F34" i="2"/>
  <c r="F33" i="2"/>
  <c r="F32" i="2"/>
  <c r="F30" i="2"/>
  <c r="F29" i="2"/>
  <c r="F26" i="2"/>
  <c r="E81" i="3"/>
  <c r="F23" i="2"/>
  <c r="F22" i="2"/>
  <c r="F19" i="2"/>
  <c r="F10" i="2"/>
  <c r="F9" i="2"/>
  <c r="N77" i="3"/>
  <c r="F82" i="3"/>
  <c r="C22" i="3" l="1"/>
  <c r="F31" i="2"/>
  <c r="F41" i="2"/>
  <c r="R19" i="3" l="1"/>
  <c r="D28" i="3"/>
  <c r="C28" i="3"/>
  <c r="D27" i="3"/>
  <c r="C27" i="3"/>
  <c r="D37" i="3"/>
  <c r="D34" i="3"/>
  <c r="D31" i="3"/>
  <c r="D36" i="3"/>
  <c r="D35" i="3"/>
  <c r="C37" i="3"/>
  <c r="C36" i="3"/>
  <c r="C35" i="3"/>
  <c r="D33" i="3"/>
  <c r="D32" i="3"/>
  <c r="C34" i="3"/>
  <c r="C33" i="3"/>
  <c r="C32" i="3"/>
  <c r="D30" i="3"/>
  <c r="D29" i="3"/>
  <c r="D24" i="3"/>
  <c r="C26" i="3"/>
  <c r="C31" i="3"/>
  <c r="C30" i="3"/>
  <c r="C29" i="3"/>
  <c r="D26" i="3"/>
  <c r="D25" i="3"/>
  <c r="C25" i="3"/>
  <c r="C24" i="3"/>
  <c r="P71" i="3"/>
  <c r="M72" i="3" s="1"/>
  <c r="E37" i="3" l="1"/>
  <c r="E33" i="3"/>
  <c r="E28" i="3"/>
  <c r="E27" i="3"/>
  <c r="E29" i="3"/>
  <c r="E30" i="3"/>
  <c r="E31" i="3"/>
  <c r="E35" i="3"/>
  <c r="E36" i="3"/>
  <c r="E34" i="3"/>
  <c r="E32" i="3"/>
  <c r="E26" i="3"/>
  <c r="E25" i="3"/>
  <c r="N57" i="3" l="1"/>
  <c r="N56" i="3"/>
  <c r="N55" i="3"/>
  <c r="N54" i="3"/>
  <c r="N53" i="3"/>
  <c r="N52" i="3"/>
  <c r="N51" i="3"/>
  <c r="M57" i="3"/>
  <c r="N50" i="3"/>
  <c r="O112" i="3"/>
  <c r="N112" i="3"/>
  <c r="F18" i="2"/>
  <c r="F17" i="2"/>
  <c r="F16" i="2"/>
  <c r="F15" i="2"/>
  <c r="F14" i="2"/>
  <c r="F12" i="2"/>
  <c r="F8" i="2"/>
  <c r="E63" i="3"/>
  <c r="O57" i="3" l="1"/>
  <c r="N80" i="3"/>
  <c r="N79" i="3"/>
  <c r="A8" i="2"/>
  <c r="G19" i="3"/>
  <c r="H81" i="3"/>
  <c r="E79" i="3"/>
  <c r="H79" i="3" s="1"/>
  <c r="E62" i="3"/>
  <c r="F81" i="3" l="1"/>
  <c r="F79" i="3"/>
  <c r="B17" i="2" l="1"/>
  <c r="B12" i="2"/>
  <c r="M123" i="3"/>
  <c r="M124" i="3"/>
  <c r="M125" i="3"/>
  <c r="M122" i="3"/>
  <c r="F45" i="2"/>
  <c r="F44" i="2"/>
  <c r="E133" i="3"/>
  <c r="H133" i="3" s="1"/>
  <c r="E59" i="3"/>
  <c r="M112" i="3"/>
  <c r="P112" i="3" s="1"/>
  <c r="N76" i="3" s="1"/>
  <c r="M128" i="3" l="1"/>
  <c r="N124" i="3" s="1"/>
  <c r="F133" i="3"/>
  <c r="F46" i="2" l="1"/>
  <c r="N126" i="3"/>
  <c r="F11" i="2" l="1"/>
  <c r="F20" i="2" l="1"/>
  <c r="M51" i="3" l="1"/>
  <c r="E64" i="3"/>
  <c r="H63" i="3"/>
  <c r="O51" i="3" l="1"/>
  <c r="F63" i="3"/>
  <c r="F91" i="3" l="1"/>
  <c r="H91" i="3" l="1"/>
  <c r="H56" i="3" l="1"/>
  <c r="M52" i="3"/>
  <c r="M53" i="3"/>
  <c r="M54" i="3"/>
  <c r="M55" i="3"/>
  <c r="M56" i="3"/>
  <c r="F56" i="3" l="1"/>
  <c r="O54" i="3"/>
  <c r="O55" i="3"/>
  <c r="O56" i="3"/>
  <c r="O52" i="3"/>
  <c r="O53" i="3"/>
  <c r="E148" i="3" l="1"/>
  <c r="E130" i="3"/>
  <c r="E127" i="3"/>
  <c r="E124" i="3"/>
  <c r="E86" i="3"/>
  <c r="F86" i="3" s="1"/>
  <c r="E50" i="3"/>
  <c r="F50" i="3" s="1"/>
  <c r="E49" i="3"/>
  <c r="H49" i="3" s="1"/>
  <c r="E51" i="3"/>
  <c r="H51" i="3" s="1"/>
  <c r="A12" i="2"/>
  <c r="H86" i="3" l="1"/>
  <c r="H50" i="3"/>
  <c r="F49" i="3"/>
  <c r="F51" i="3"/>
  <c r="N68" i="3"/>
  <c r="E87" i="3" l="1"/>
  <c r="N63" i="3"/>
  <c r="M50" i="3" l="1"/>
  <c r="M58" i="3" s="1"/>
  <c r="D23" i="3"/>
  <c r="O50" i="3" l="1"/>
  <c r="D22" i="3"/>
  <c r="O58" i="3" l="1"/>
  <c r="N78" i="3" s="1"/>
  <c r="N81" i="3" s="1"/>
  <c r="F21" i="2" s="1"/>
  <c r="F93" i="3"/>
  <c r="F92" i="3"/>
  <c r="F90" i="3"/>
  <c r="H89" i="3"/>
  <c r="F72" i="3"/>
  <c r="F88" i="3"/>
  <c r="H88" i="3"/>
  <c r="F87" i="3"/>
  <c r="H87" i="3"/>
  <c r="E206" i="3"/>
  <c r="H206" i="3" s="1"/>
  <c r="E207" i="3"/>
  <c r="H207" i="3" s="1"/>
  <c r="E208" i="3"/>
  <c r="H208" i="3" s="1"/>
  <c r="E209" i="3"/>
  <c r="H209" i="3" s="1"/>
  <c r="E210" i="3"/>
  <c r="H210" i="3" s="1"/>
  <c r="E211" i="3"/>
  <c r="H211" i="3" s="1"/>
  <c r="E212" i="3"/>
  <c r="H212" i="3" s="1"/>
  <c r="E213" i="3"/>
  <c r="E214" i="3"/>
  <c r="E215" i="3"/>
  <c r="H215" i="3" s="1"/>
  <c r="E205" i="3"/>
  <c r="H205" i="3" s="1"/>
  <c r="H216" i="3" l="1"/>
  <c r="J205" i="3" s="1"/>
  <c r="H93" i="3"/>
  <c r="H92" i="3"/>
  <c r="H90" i="3"/>
  <c r="F89" i="3"/>
  <c r="F27" i="2" l="1"/>
  <c r="C104" i="3"/>
  <c r="D104" i="3"/>
  <c r="E104" i="3" l="1"/>
  <c r="E67" i="3"/>
  <c r="E66" i="3"/>
  <c r="E58" i="3"/>
  <c r="E55" i="3"/>
  <c r="E52" i="3"/>
  <c r="E48" i="3"/>
  <c r="E46" i="3"/>
  <c r="E47" i="3"/>
  <c r="M19" i="3"/>
  <c r="J19" i="3"/>
  <c r="E19" i="3"/>
  <c r="F19" i="3"/>
  <c r="H19" i="3"/>
  <c r="I19" i="3"/>
  <c r="D19" i="3"/>
  <c r="E121" i="3" l="1"/>
  <c r="E119" i="3"/>
  <c r="E116" i="3"/>
  <c r="E113" i="3"/>
  <c r="E110" i="3"/>
  <c r="H128" i="2" l="1"/>
  <c r="N19" i="3"/>
  <c r="O19" i="3"/>
  <c r="P19" i="3"/>
  <c r="Q19" i="3"/>
  <c r="L21" i="3" s="1"/>
  <c r="S19" i="3"/>
  <c r="M8" i="3" s="1"/>
  <c r="T19" i="3"/>
  <c r="E224" i="3" l="1"/>
  <c r="D224" i="3"/>
  <c r="D225" i="3"/>
  <c r="H52" i="3" l="1"/>
  <c r="I240" i="3"/>
  <c r="E221" i="3"/>
  <c r="D222" i="3"/>
  <c r="F52" i="3" l="1"/>
  <c r="E228" i="3" l="1"/>
  <c r="D221" i="3"/>
  <c r="M2" i="3"/>
  <c r="M3" i="3"/>
  <c r="M5" i="3" s="1"/>
  <c r="F46" i="3"/>
  <c r="J46" i="3"/>
  <c r="H47" i="3"/>
  <c r="J47" i="3"/>
  <c r="F48" i="3"/>
  <c r="J52" i="3"/>
  <c r="H55" i="3"/>
  <c r="H58" i="3"/>
  <c r="H59" i="3"/>
  <c r="J250" i="3"/>
  <c r="K250" i="3" s="1"/>
  <c r="K251" i="3"/>
  <c r="L251" i="3"/>
  <c r="H62" i="3"/>
  <c r="H64" i="3"/>
  <c r="H66" i="3"/>
  <c r="F67" i="3"/>
  <c r="H70" i="3"/>
  <c r="H75" i="3"/>
  <c r="F76" i="3"/>
  <c r="H76" i="3"/>
  <c r="C175" i="3"/>
  <c r="C177" i="3" s="1"/>
  <c r="C179" i="3" s="1"/>
  <c r="C176" i="3"/>
  <c r="C181" i="3" s="1"/>
  <c r="F130" i="3"/>
  <c r="H148" i="3"/>
  <c r="F228" i="3"/>
  <c r="H228" i="3"/>
  <c r="E229" i="3"/>
  <c r="F229" i="3"/>
  <c r="H229" i="3"/>
  <c r="C264" i="3"/>
  <c r="C266" i="3" s="1"/>
  <c r="H6" i="2"/>
  <c r="H131" i="2"/>
  <c r="H130" i="2"/>
  <c r="H132" i="2"/>
  <c r="H18" i="2"/>
  <c r="H19" i="2"/>
  <c r="H22" i="2"/>
  <c r="H23" i="2"/>
  <c r="H27" i="2"/>
  <c r="H29" i="2"/>
  <c r="H41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C258" i="1" s="1"/>
  <c r="D167" i="1"/>
  <c r="C262" i="1" s="1"/>
  <c r="D170" i="1"/>
  <c r="C266" i="1" s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B262" i="1"/>
  <c r="E167" i="1" s="1"/>
  <c r="B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C23" i="3" l="1"/>
  <c r="E23" i="3" s="1"/>
  <c r="G102" i="1"/>
  <c r="F104" i="1"/>
  <c r="H296" i="1"/>
  <c r="E91" i="1"/>
  <c r="F91" i="1" s="1"/>
  <c r="G126" i="1"/>
  <c r="G91" i="1"/>
  <c r="D245" i="1"/>
  <c r="E246" i="1" s="1"/>
  <c r="E282" i="1" s="1"/>
  <c r="D210" i="1" s="1"/>
  <c r="G131" i="1"/>
  <c r="G111" i="1"/>
  <c r="F105" i="1"/>
  <c r="E53" i="1"/>
  <c r="M10" i="3"/>
  <c r="E22" i="3" s="1"/>
  <c r="H111" i="2"/>
  <c r="E35" i="1"/>
  <c r="G117" i="1"/>
  <c r="F117" i="1"/>
  <c r="E122" i="1"/>
  <c r="F122" i="1" s="1"/>
  <c r="G103" i="1"/>
  <c r="E71" i="1"/>
  <c r="E27" i="1"/>
  <c r="H24" i="2"/>
  <c r="G133" i="1"/>
  <c r="E34" i="1"/>
  <c r="E32" i="1"/>
  <c r="F58" i="3"/>
  <c r="D266" i="1"/>
  <c r="E267" i="1" s="1"/>
  <c r="D258" i="1"/>
  <c r="E259" i="1" s="1"/>
  <c r="D246" i="1"/>
  <c r="E36" i="1"/>
  <c r="E31" i="1"/>
  <c r="F75" i="3"/>
  <c r="F121" i="3"/>
  <c r="H121" i="3"/>
  <c r="G157" i="1"/>
  <c r="F157" i="1"/>
  <c r="G110" i="1"/>
  <c r="E98" i="1"/>
  <c r="D271" i="1"/>
  <c r="E272" i="1" s="1"/>
  <c r="E95" i="1"/>
  <c r="E33" i="1"/>
  <c r="E25" i="1"/>
  <c r="D279" i="1"/>
  <c r="E280" i="1" s="1"/>
  <c r="D228" i="3"/>
  <c r="I228" i="3" s="1"/>
  <c r="F148" i="3"/>
  <c r="E109" i="1"/>
  <c r="E70" i="1"/>
  <c r="D250" i="1"/>
  <c r="E251" i="1" s="1"/>
  <c r="F111" i="1"/>
  <c r="G132" i="1"/>
  <c r="E30" i="1"/>
  <c r="C29" i="1"/>
  <c r="E29" i="1" s="1"/>
  <c r="E26" i="1"/>
  <c r="E24" i="1"/>
  <c r="D229" i="3"/>
  <c r="I229" i="3" s="1"/>
  <c r="D255" i="1"/>
  <c r="C22" i="1"/>
  <c r="C23" i="1" s="1"/>
  <c r="E23" i="1" s="1"/>
  <c r="F59" i="3"/>
  <c r="F55" i="3"/>
  <c r="L250" i="3"/>
  <c r="E24" i="3"/>
  <c r="F62" i="3"/>
  <c r="F70" i="3"/>
  <c r="J67" i="3"/>
  <c r="H67" i="3"/>
  <c r="H48" i="3"/>
  <c r="F113" i="3"/>
  <c r="H113" i="3"/>
  <c r="F124" i="3"/>
  <c r="H124" i="3"/>
  <c r="H116" i="3"/>
  <c r="F116" i="3"/>
  <c r="H72" i="3"/>
  <c r="F66" i="3"/>
  <c r="H130" i="3"/>
  <c r="J66" i="3"/>
  <c r="F47" i="3"/>
  <c r="F64" i="3"/>
  <c r="H46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38" i="3" l="1"/>
  <c r="F24" i="2" s="1"/>
  <c r="G122" i="1"/>
  <c r="H94" i="3"/>
  <c r="I217" i="3"/>
  <c r="H42" i="2"/>
  <c r="F94" i="3"/>
  <c r="E22" i="1"/>
  <c r="E37" i="1" s="1"/>
  <c r="H39" i="2" s="1"/>
  <c r="G95" i="1"/>
  <c r="F95" i="1"/>
  <c r="G109" i="1"/>
  <c r="F109" i="1"/>
  <c r="G98" i="1"/>
  <c r="F98" i="1"/>
  <c r="D230" i="3"/>
  <c r="E230" i="3"/>
  <c r="F230" i="3"/>
  <c r="H230" i="3"/>
  <c r="H110" i="3"/>
  <c r="F110" i="3"/>
  <c r="F119" i="3"/>
  <c r="H119" i="3"/>
  <c r="F127" i="3"/>
  <c r="H127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C98" i="3" l="1"/>
  <c r="F96" i="3"/>
  <c r="C101" i="3"/>
  <c r="C100" i="3"/>
  <c r="C99" i="3"/>
  <c r="H96" i="3"/>
  <c r="F156" i="3"/>
  <c r="J100" i="3"/>
  <c r="I230" i="3"/>
  <c r="I231" i="3" s="1"/>
  <c r="I239" i="3" s="1"/>
  <c r="H156" i="3"/>
  <c r="C203" i="1"/>
  <c r="C207" i="1" s="1"/>
  <c r="H40" i="2" s="1"/>
  <c r="C206" i="1"/>
  <c r="C205" i="1"/>
  <c r="C204" i="1"/>
  <c r="G40" i="2" s="1"/>
  <c r="C162" i="3" l="1"/>
  <c r="C163" i="3"/>
  <c r="C161" i="3"/>
  <c r="C102" i="3"/>
  <c r="D106" i="3"/>
  <c r="C160" i="3"/>
  <c r="C184" i="3"/>
  <c r="F25" i="2" l="1"/>
  <c r="C164" i="3"/>
  <c r="C183" i="3"/>
  <c r="C182" i="3"/>
  <c r="C185" i="3"/>
  <c r="C186" i="3"/>
  <c r="F28" i="2" l="1"/>
  <c r="J99" i="3"/>
  <c r="J101" i="3"/>
  <c r="J98" i="3"/>
  <c r="F36" i="2" l="1"/>
  <c r="F37" i="2" s="1"/>
  <c r="F47" i="2" s="1"/>
  <c r="F48" i="2" s="1"/>
  <c r="F49" i="2" s="1"/>
  <c r="F50" i="2" s="1"/>
  <c r="J10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7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8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224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J251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<sst xmlns="http://schemas.openxmlformats.org/spreadsheetml/2006/main" count="878" uniqueCount="405">
  <si>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</si>
  <si>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</si>
  <si>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</si>
  <si>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</si>
  <si>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</si>
  <si>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</si>
  <si>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</si>
  <si>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</si>
  <si>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</si>
  <si>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</si>
  <si>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</si>
  <si>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</si>
  <si>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</si>
  <si>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</si>
  <si>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</si>
  <si>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</si>
  <si>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</si>
  <si>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</si>
  <si>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</si>
  <si>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</si>
  <si>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</si>
  <si>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</si>
  <si>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</si>
  <si>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</si>
  <si>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</si>
  <si>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</si>
  <si>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</si>
  <si>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</si>
  <si>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</si>
  <si>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</si>
  <si>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</si>
  <si>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</si>
  <si>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</si>
  <si>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</si>
  <si>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</si>
  <si>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</si>
  <si>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</si>
  <si>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</si>
  <si>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</si>
  <si>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</si>
  <si>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</si>
  <si>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</si>
  <si>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</si>
  <si>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</si>
  <si>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</si>
  <si>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</si>
  <si>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</si>
  <si>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</si>
  <si>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</si>
  <si>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</si>
  <si>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</si>
  <si>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</si>
  <si>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</si>
  <si>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</si>
  <si>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</si>
  <si>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</si>
  <si>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</si>
  <si>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</si>
  <si>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</si>
  <si>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</si>
  <si>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</si>
  <si>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</si>
  <si>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</si>
  <si>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</si>
  <si>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</si>
  <si>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</si>
  <si>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</si>
  <si>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</si>
  <si>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</si>
  <si>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</si>
  <si>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</si>
  <si>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</si>
  <si>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</si>
  <si>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</si>
  <si>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</si>
  <si>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</si>
  <si>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</si>
  <si>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</si>
  <si>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</si>
  <si>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</si>
  <si>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</si>
  <si>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</si>
  <si>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</si>
  <si>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</si>
  <si>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</si>
  <si>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</si>
  <si>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</si>
  <si>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</si>
  <si>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</si>
  <si>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</si>
  <si>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</si>
  <si>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</si>
  <si>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</si>
  <si>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</si>
  <si>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</si>
  <si>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</si>
  <si>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</si>
  <si>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</si>
  <si>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</si>
  <si>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</si>
  <si>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</si>
  <si>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</si>
  <si>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</si>
  <si>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</si>
  <si>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</si>
  <si>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</si>
  <si>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</si>
  <si>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</si>
  <si>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</si>
  <si>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</si>
  <si>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</si>
  <si>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</si>
  <si>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</si>
  <si>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</si>
  <si>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</si>
  <si>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</si>
  <si>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</si>
  <si>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</si>
  <si>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</si>
  <si>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</si>
  <si>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</si>
  <si>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</si>
  <si>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</si>
  <si>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</si>
  <si>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</si>
  <si>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</si>
  <si>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</si>
  <si>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</si>
  <si>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</si>
  <si>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</si>
  <si>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</si>
  <si>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</si>
  <si>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</si>
  <si>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</si>
  <si>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</si>
  <si>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</si>
  <si>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</si>
  <si>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</si>
  <si>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</si>
  <si>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</si>
  <si>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</si>
  <si>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</si>
  <si>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</si>
  <si>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</si>
  <si>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</si>
  <si>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</si>
  <si>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</si>
  <si>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</si>
  <si>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</si>
  <si>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</si>
  <si>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</si>
  <si>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</si>
  <si>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</si>
  <si>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</si>
  <si>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</si>
  <si>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</si>
  <si>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</si>
  <si>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</si>
  <si>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</si>
  <si>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</si>
  <si>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</si>
  <si>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</si>
  <si>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</si>
  <si>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</si>
  <si>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</si>
  <si>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</si>
  <si>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</si>
  <si>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</si>
  <si>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</si>
  <si>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</si>
  <si>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</si>
  <si>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</si>
  <si>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</si>
  <si>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</si>
  <si>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</si>
  <si>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</si>
  <si>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</si>
  <si>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</si>
  <si>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</si>
  <si>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</si>
  <si>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</si>
  <si>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</si>
  <si>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</si>
  <si>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</si>
  <si>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</si>
  <si>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</si>
  <si>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</si>
  <si>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</si>
  <si>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</si>
  <si>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</si>
  <si>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</si>
  <si>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</si>
  <si>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</si>
  <si>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</si>
  <si>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</si>
  <si>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</si>
  <si>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</si>
  <si>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</si>
  <si>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</si>
  <si>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</si>
  <si>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</si>
  <si>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</si>
  <si>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</si>
  <si>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</si>
  <si>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</si>
  <si>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</si>
  <si>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</si>
  <si>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</si>
  <si>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</si>
  <si>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</si>
  <si>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</si>
  <si>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</si>
  <si>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</si>
  <si>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</si>
  <si>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</si>
  <si>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</si>
  <si>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</si>
  <si>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</si>
  <si>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</si>
  <si>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</si>
  <si>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</si>
  <si>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</si>
  <si>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</si>
  <si>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</si>
  <si>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</si>
  <si>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</si>
  <si>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</si>
  <si>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</si>
  <si>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</si>
  <si>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</si>
  <si>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</si>
  <si>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</si>
  <si>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</si>
  <si>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</si>
  <si>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</si>
  <si>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</si>
  <si>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</si>
  <si>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</si>
  <si>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>Matkorn (hvete)</t>
  </si>
  <si>
    <t>Matkorn (rug)</t>
  </si>
  <si>
    <t>Bygg</t>
  </si>
  <si>
    <t>Distriktstilskudd frukt, bær og grønnsaker</t>
  </si>
  <si>
    <t>Frukt og grønt</t>
  </si>
  <si>
    <t>Utslag for ditt bruk:</t>
  </si>
  <si>
    <t>Fjørfe forventet prisvekst</t>
  </si>
  <si>
    <t xml:space="preserve">Distriktstilskudd melk 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</si>
  <si>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</si>
  <si>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</si>
  <si>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</si>
  <si>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</si>
  <si>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</si>
  <si>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</si>
  <si>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1-14 dyr</t>
  </si>
  <si>
    <t>15-30 dyr</t>
  </si>
  <si>
    <t>31-50 dyr</t>
  </si>
  <si>
    <t>Bunnfradrag</t>
  </si>
  <si>
    <t>Rentekostnader</t>
  </si>
  <si>
    <t>Bruttoinntekter av frukt og grønt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</si>
  <si>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</si>
  <si>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</si>
  <si>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</si>
  <si>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</si>
  <si>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</si>
  <si>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</si>
  <si>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</si>
  <si>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</si>
  <si>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</si>
  <si>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</si>
  <si>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Tilskudd små og mellomstore melkebruk</t>
  </si>
  <si>
    <t>Kastrat</t>
  </si>
  <si>
    <t>Spælsau</t>
  </si>
  <si>
    <t>Gjeld (næring)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</si>
  <si>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</si>
  <si>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</si>
  <si>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</si>
  <si>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</si>
  <si>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</si>
  <si>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151+</t>
  </si>
  <si>
    <t>Omsatt mengde pressfrukt</t>
  </si>
  <si>
    <t>Pressfrukt</t>
  </si>
  <si>
    <t>Gris, forventet prisvekst</t>
  </si>
  <si>
    <t>3,3%</t>
  </si>
  <si>
    <t>Kompensasjon</t>
  </si>
  <si>
    <t>Distrikt frukt bær</t>
  </si>
  <si>
    <t>Agurk</t>
  </si>
  <si>
    <t>Rugeegg</t>
  </si>
  <si>
    <t>Kalkun</t>
  </si>
  <si>
    <t>Bifolk</t>
  </si>
  <si>
    <t>Rugegg</t>
  </si>
  <si>
    <t>egg</t>
  </si>
  <si>
    <t>Kalkun, gjess, ender</t>
  </si>
  <si>
    <t>slakt</t>
  </si>
  <si>
    <t>Sau født foregående år, ammegeit</t>
  </si>
  <si>
    <t>Økt inntektseffekt av jordbruksfradraget</t>
  </si>
  <si>
    <t>Distriktstilskudd kjøtt</t>
  </si>
  <si>
    <t>Sone for distriktstilskudd melk</t>
  </si>
  <si>
    <t>A</t>
  </si>
  <si>
    <t>Distriktstilskudd melk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</si>
  <si>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</si>
  <si>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</si>
  <si>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</si>
  <si>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</si>
  <si>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</si>
  <si>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</si>
  <si>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</si>
  <si>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</si>
  <si>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</si>
  <si>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Dmelk</t>
  </si>
  <si>
    <t>Melkevolum</t>
  </si>
  <si>
    <t>Storfe/sau</t>
  </si>
  <si>
    <t>Svin</t>
  </si>
  <si>
    <t>Sør Norge</t>
  </si>
  <si>
    <t>Nord Norge</t>
  </si>
  <si>
    <t>Landet</t>
  </si>
  <si>
    <t>Diesel, gass, strøm</t>
  </si>
  <si>
    <t>Forventet kostnadsvekst i 2023:</t>
  </si>
  <si>
    <t>Driftskostnader (Variable + Faste) ekskl. kraftfôr, gjødsel, strøm, diesel, gass og leid hjelp</t>
  </si>
  <si>
    <t>Gjødsel</t>
  </si>
  <si>
    <t>Kvantum N-gjødsel</t>
  </si>
  <si>
    <t>Kvantum NPK gjødsel</t>
  </si>
  <si>
    <t>Pris N-gjødsel</t>
  </si>
  <si>
    <t>Pris NPK-gjødsel</t>
  </si>
  <si>
    <t>Forutsatt pris N</t>
  </si>
  <si>
    <t>Forutsatt pris NPK</t>
  </si>
  <si>
    <t>Distriktstilskudd potet</t>
  </si>
  <si>
    <t>* Mer skattelette pga økt inntekt, omregnet til inntekt før beskatning med 39,7 % marginalskatt</t>
  </si>
  <si>
    <t>UTSLAG INKL. EFFEKT AV JORDBRUKSFRADRAGET *</t>
  </si>
  <si>
    <t xml:space="preserve"> 1-75</t>
  </si>
  <si>
    <t xml:space="preserve"> 76-150</t>
  </si>
  <si>
    <t>5A</t>
  </si>
  <si>
    <t>5B</t>
  </si>
  <si>
    <t>Distriktstilskudd egg</t>
  </si>
  <si>
    <t>-</t>
  </si>
  <si>
    <t>Sum distriktstilskudd</t>
  </si>
  <si>
    <t>Kvalitetstilskudd</t>
  </si>
  <si>
    <t>Lammeslakt kl O+ og bedre</t>
  </si>
  <si>
    <t>Kvalitetstilskudd lammeslakt og kjeslakt</t>
  </si>
  <si>
    <t>Utslag i 2024</t>
  </si>
  <si>
    <t>Sammenlignet med 2023 før jordbruksavtalen.</t>
  </si>
  <si>
    <t>Økte målpriser fra 1/7-23</t>
  </si>
  <si>
    <t>Industripotet</t>
  </si>
  <si>
    <t>Mathvete</t>
  </si>
  <si>
    <t>Matpoteter</t>
  </si>
  <si>
    <t>Matpotet</t>
  </si>
  <si>
    <t>Industripotet (ikke avrens)</t>
  </si>
  <si>
    <t>Opprinnelig sats</t>
  </si>
  <si>
    <t>Potet Nord Norge</t>
  </si>
  <si>
    <t>Tilskudd til industripotet</t>
  </si>
  <si>
    <t>Potet Nord Norg</t>
  </si>
  <si>
    <t>0-300 daa</t>
  </si>
  <si>
    <t>301-600</t>
  </si>
  <si>
    <t>600+</t>
  </si>
  <si>
    <t>0-500 daa</t>
  </si>
  <si>
    <t>501+</t>
  </si>
  <si>
    <t>0-200 daa</t>
  </si>
  <si>
    <t>200-400 daa</t>
  </si>
  <si>
    <t>400+</t>
  </si>
  <si>
    <t>0-50 daa</t>
  </si>
  <si>
    <t>51-100</t>
  </si>
  <si>
    <t>100+</t>
  </si>
  <si>
    <t>0-100</t>
  </si>
  <si>
    <t>101-200</t>
  </si>
  <si>
    <t>200 +</t>
  </si>
  <si>
    <t>Anslått årlig kraftfôrkostnad</t>
  </si>
  <si>
    <t>kroner</t>
  </si>
  <si>
    <t>Anslått gjødselkostnad for årets sesong</t>
  </si>
  <si>
    <t>Prosent</t>
  </si>
  <si>
    <t>Hva var næringsinntekta fra gården i 2022?</t>
  </si>
  <si>
    <t>Setertilskudd</t>
  </si>
  <si>
    <t>Mottar du setertilskudd?</t>
  </si>
  <si>
    <t>Hvor mye mottar du i tilskudd fra regionalt miljøprogram?</t>
  </si>
  <si>
    <t>Kroner</t>
  </si>
  <si>
    <t>Oljefrø og proteinvekster</t>
  </si>
  <si>
    <t>Herav oljefrø og proteinvekster</t>
  </si>
  <si>
    <t>Verpehøner, landet 1001-6000</t>
  </si>
  <si>
    <t>SUM anslått kostnadsvekst</t>
  </si>
  <si>
    <t>søknadsmengden endres og hvordan ordningene endres</t>
  </si>
  <si>
    <t>Skal du gjennomføre dyrevelferdsprogram for ditt dyrehold i 2024?</t>
  </si>
  <si>
    <t>Hvis "Ja": For hvor mange dyreslag?</t>
  </si>
  <si>
    <t>Dyrevelferdstilskudd</t>
  </si>
  <si>
    <t>Distriktstilskudd (sum melk, kjøtt, egg, frukt/bær)</t>
  </si>
  <si>
    <t>Sammenlignet med økonomien i 2023 FØR JORDBRUKSOPPGJØRET</t>
  </si>
  <si>
    <t xml:space="preserve">Gjødselkostnader </t>
  </si>
  <si>
    <r>
      <t xml:space="preserve">Regionalt miljøprogram </t>
    </r>
    <r>
      <rPr>
        <sz val="11"/>
        <color rgb="FFFF0000"/>
        <rFont val="Arial"/>
        <family val="2"/>
      </rPr>
      <t>2)</t>
    </r>
  </si>
  <si>
    <t>SUM UTSLAG 2024</t>
  </si>
  <si>
    <t xml:space="preserve">2) Inntektseffekten av Regionale miljøprogram er usikker og avhenger av om </t>
  </si>
  <si>
    <t>Sone for distriktstilskudd kjøtt</t>
  </si>
  <si>
    <t>Antatt prisøkning for ikke-målprisprodukter fra 1/1-24</t>
  </si>
  <si>
    <t>SUM UTSLAG 2024 ETTER KOSTNADSDEKKING</t>
  </si>
  <si>
    <t>Inntektsutslag av Statens tilbud til jordbruksforhandlingene for 2024</t>
  </si>
  <si>
    <t>28 øre/liter</t>
  </si>
  <si>
    <t>-5 øre/kg</t>
  </si>
  <si>
    <t>42 øre/kg</t>
  </si>
  <si>
    <t>7,6 %</t>
  </si>
  <si>
    <t>Annet korn</t>
  </si>
  <si>
    <t>-10 øre/kg</t>
  </si>
  <si>
    <t>Matkorn, hvete</t>
  </si>
  <si>
    <t>Rug, bygg, havre og fôrhvete</t>
  </si>
  <si>
    <t>21 øre/kg</t>
  </si>
  <si>
    <t>Kjeslakt &gt; 5 kg</t>
  </si>
  <si>
    <t>Kjeslakt mellom 3,5 og 5 kg</t>
  </si>
  <si>
    <t>NB! Tilbudet forutsetter en prisreduksjon på gjødsel på 40 %. Kravet 30 %. Utslagene vil derfor ikke være helt sammenlignbare.</t>
  </si>
  <si>
    <t>Bær til industri</t>
  </si>
  <si>
    <t>Omsatt mengde bær til konsum</t>
  </si>
  <si>
    <t>Anslått endring i gjødselvolum hvis prisen synker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</si>
</sst>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indexed="8"/>
      <name val="Arial"/>
      <family val="2"/>
    </font>
    <font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color theme="9" tint="-0.249977111117893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/>
    <xf numFmtId="0" fontId="6" fillId="0" borderId="0" xfId="0" applyFont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8" fillId="2" borderId="0" xfId="0" applyFont="1" applyFill="1"/>
    <xf numFmtId="0" fontId="12" fillId="0" borderId="0" xfId="0" applyFont="1" applyProtection="1">
      <protection locked="0"/>
    </xf>
    <xf numFmtId="0" fontId="10" fillId="3" borderId="0" xfId="0" applyFont="1" applyFill="1"/>
    <xf numFmtId="0" fontId="11" fillId="3" borderId="2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/>
    <xf numFmtId="0" fontId="10" fillId="4" borderId="0" xfId="0" applyFont="1" applyFill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17" fillId="0" borderId="0" xfId="0" applyFont="1"/>
    <xf numFmtId="0" fontId="17" fillId="0" borderId="1" xfId="0" applyFont="1" applyBorder="1"/>
    <xf numFmtId="0" fontId="15" fillId="0" borderId="0" xfId="0" applyFont="1"/>
    <xf numFmtId="0" fontId="15" fillId="0" borderId="1" xfId="0" applyFont="1" applyBorder="1"/>
    <xf numFmtId="0" fontId="16" fillId="0" borderId="0" xfId="0" applyFont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5" fillId="0" borderId="4" xfId="0" applyFont="1" applyBorder="1"/>
    <xf numFmtId="0" fontId="17" fillId="0" borderId="4" xfId="0" applyFont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/>
    <xf numFmtId="1" fontId="3" fillId="0" borderId="1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2" fontId="3" fillId="0" borderId="0" xfId="0" applyNumberFormat="1" applyFont="1"/>
    <xf numFmtId="164" fontId="3" fillId="0" borderId="0" xfId="0" applyNumberFormat="1" applyFont="1"/>
    <xf numFmtId="0" fontId="11" fillId="4" borderId="0" xfId="0" applyFont="1" applyFill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16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5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15" fillId="0" borderId="2" xfId="0" applyFont="1" applyBorder="1"/>
    <xf numFmtId="0" fontId="16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" fontId="5" fillId="0" borderId="10" xfId="0" applyNumberFormat="1" applyFont="1" applyBorder="1"/>
    <xf numFmtId="0" fontId="15" fillId="0" borderId="8" xfId="0" applyFont="1" applyBorder="1"/>
    <xf numFmtId="0" fontId="4" fillId="0" borderId="10" xfId="0" applyFont="1" applyBorder="1"/>
    <xf numFmtId="0" fontId="17" fillId="0" borderId="2" xfId="0" applyFont="1" applyBorder="1"/>
    <xf numFmtId="0" fontId="17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/>
    <xf numFmtId="1" fontId="1" fillId="0" borderId="0" xfId="0" applyNumberFormat="1" applyFont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5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3" fillId="3" borderId="13" xfId="0" applyFont="1" applyFill="1" applyBorder="1"/>
    <xf numFmtId="0" fontId="14" fillId="3" borderId="14" xfId="0" applyFont="1" applyFill="1" applyBorder="1"/>
    <xf numFmtId="0" fontId="5" fillId="2" borderId="0" xfId="0" applyFont="1" applyFill="1"/>
    <xf numFmtId="0" fontId="4" fillId="2" borderId="0" xfId="0" applyFont="1" applyFill="1"/>
    <xf numFmtId="0" fontId="5" fillId="2" borderId="15" xfId="0" applyFont="1" applyFill="1" applyBorder="1"/>
    <xf numFmtId="0" fontId="5" fillId="6" borderId="16" xfId="0" applyFont="1" applyFill="1" applyBorder="1" applyAlignment="1">
      <alignment horizontal="right"/>
    </xf>
    <xf numFmtId="2" fontId="4" fillId="6" borderId="5" xfId="0" applyNumberFormat="1" applyFont="1" applyFill="1" applyBorder="1"/>
    <xf numFmtId="0" fontId="4" fillId="4" borderId="17" xfId="0" applyFont="1" applyFill="1" applyBorder="1"/>
    <xf numFmtId="2" fontId="4" fillId="7" borderId="4" xfId="0" applyNumberFormat="1" applyFont="1" applyFill="1" applyBorder="1" applyAlignment="1">
      <alignment horizontal="right"/>
    </xf>
    <xf numFmtId="2" fontId="4" fillId="8" borderId="0" xfId="0" applyNumberFormat="1" applyFont="1" applyFill="1"/>
    <xf numFmtId="3" fontId="4" fillId="8" borderId="18" xfId="0" applyNumberFormat="1" applyFont="1" applyFill="1" applyBorder="1"/>
    <xf numFmtId="0" fontId="4" fillId="4" borderId="19" xfId="0" applyFont="1" applyFill="1" applyBorder="1"/>
    <xf numFmtId="2" fontId="4" fillId="7" borderId="0" xfId="0" applyNumberFormat="1" applyFont="1" applyFill="1"/>
    <xf numFmtId="0" fontId="5" fillId="3" borderId="1" xfId="0" applyFont="1" applyFill="1" applyBorder="1"/>
    <xf numFmtId="165" fontId="4" fillId="7" borderId="0" xfId="0" applyNumberFormat="1" applyFont="1" applyFill="1" applyAlignment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/>
    <xf numFmtId="3" fontId="5" fillId="6" borderId="20" xfId="0" applyNumberFormat="1" applyFont="1" applyFill="1" applyBorder="1"/>
    <xf numFmtId="0" fontId="4" fillId="8" borderId="0" xfId="0" applyFont="1" applyFill="1"/>
    <xf numFmtId="49" fontId="4" fillId="8" borderId="0" xfId="0" applyNumberFormat="1" applyFont="1" applyFill="1" applyAlignment="1">
      <alignment horizontal="right"/>
    </xf>
    <xf numFmtId="0" fontId="4" fillId="3" borderId="21" xfId="0" applyFont="1" applyFill="1" applyBorder="1"/>
    <xf numFmtId="0" fontId="18" fillId="8" borderId="0" xfId="0" applyFont="1" applyFill="1" applyAlignment="1">
      <alignment horizontal="left"/>
    </xf>
    <xf numFmtId="3" fontId="5" fillId="6" borderId="16" xfId="0" applyNumberFormat="1" applyFont="1" applyFill="1" applyBorder="1"/>
    <xf numFmtId="0" fontId="18" fillId="6" borderId="5" xfId="0" applyFont="1" applyFill="1" applyBorder="1"/>
    <xf numFmtId="0" fontId="18" fillId="8" borderId="5" xfId="0" applyFont="1" applyFill="1" applyBorder="1"/>
    <xf numFmtId="3" fontId="5" fillId="8" borderId="16" xfId="0" applyNumberFormat="1" applyFont="1" applyFill="1" applyBorder="1"/>
    <xf numFmtId="3" fontId="5" fillId="9" borderId="16" xfId="0" applyNumberFormat="1" applyFont="1" applyFill="1" applyBorder="1"/>
    <xf numFmtId="49" fontId="4" fillId="9" borderId="5" xfId="0" applyNumberFormat="1" applyFont="1" applyFill="1" applyBorder="1"/>
    <xf numFmtId="3" fontId="5" fillId="0" borderId="18" xfId="0" applyNumberFormat="1" applyFont="1" applyBorder="1"/>
    <xf numFmtId="0" fontId="4" fillId="2" borderId="18" xfId="0" applyFont="1" applyFill="1" applyBorder="1"/>
    <xf numFmtId="0" fontId="4" fillId="2" borderId="15" xfId="0" applyFont="1" applyFill="1" applyBorder="1"/>
    <xf numFmtId="1" fontId="4" fillId="0" borderId="4" xfId="0" applyNumberFormat="1" applyFont="1" applyBorder="1"/>
    <xf numFmtId="17" fontId="0" fillId="0" borderId="0" xfId="0" applyNumberFormat="1"/>
    <xf numFmtId="0" fontId="0" fillId="0" borderId="0" xfId="0" applyAlignment="1">
      <alignment horizontal="right"/>
    </xf>
    <xf numFmtId="3" fontId="4" fillId="2" borderId="0" xfId="0" applyNumberFormat="1" applyFont="1" applyFill="1"/>
    <xf numFmtId="3" fontId="18" fillId="2" borderId="18" xfId="0" applyNumberFormat="1" applyFont="1" applyFill="1" applyBorder="1"/>
    <xf numFmtId="3" fontId="5" fillId="2" borderId="1" xfId="0" applyNumberFormat="1" applyFont="1" applyFill="1" applyBorder="1" applyProtection="1">
      <protection locked="0"/>
    </xf>
    <xf numFmtId="3" fontId="0" fillId="0" borderId="0" xfId="0" applyNumberFormat="1"/>
    <xf numFmtId="0" fontId="5" fillId="7" borderId="0" xfId="0" applyFont="1" applyFill="1"/>
    <xf numFmtId="1" fontId="0" fillId="5" borderId="0" xfId="0" applyNumberFormat="1" applyFill="1"/>
    <xf numFmtId="16" fontId="0" fillId="0" borderId="0" xfId="0" applyNumberFormat="1"/>
    <xf numFmtId="165" fontId="0" fillId="0" borderId="0" xfId="1" applyNumberFormat="1" applyFont="1"/>
    <xf numFmtId="3" fontId="5" fillId="2" borderId="18" xfId="0" applyNumberFormat="1" applyFont="1" applyFill="1" applyBorder="1"/>
    <xf numFmtId="164" fontId="4" fillId="2" borderId="0" xfId="0" applyNumberFormat="1" applyFont="1" applyFill="1"/>
    <xf numFmtId="0" fontId="2" fillId="4" borderId="19" xfId="0" applyFont="1" applyFill="1" applyBorder="1"/>
    <xf numFmtId="0" fontId="2" fillId="0" borderId="0" xfId="0" applyFont="1"/>
    <xf numFmtId="0" fontId="31" fillId="0" borderId="0" xfId="0" applyFont="1"/>
    <xf numFmtId="0" fontId="0" fillId="10" borderId="0" xfId="0" applyFill="1"/>
    <xf numFmtId="165" fontId="4" fillId="7" borderId="0" xfId="1" applyNumberFormat="1" applyFont="1" applyFill="1" applyBorder="1" applyProtection="1"/>
    <xf numFmtId="3" fontId="19" fillId="11" borderId="18" xfId="0" applyNumberFormat="1" applyFont="1" applyFill="1" applyBorder="1"/>
    <xf numFmtId="3" fontId="5" fillId="11" borderId="18" xfId="0" applyNumberFormat="1" applyFont="1" applyFill="1" applyBorder="1"/>
    <xf numFmtId="0" fontId="11" fillId="3" borderId="26" xfId="0" applyFont="1" applyFill="1" applyBorder="1"/>
    <xf numFmtId="0" fontId="12" fillId="2" borderId="0" xfId="0" applyFont="1" applyFill="1" applyAlignment="1" applyProtection="1">
      <alignment horizontal="center"/>
      <protection locked="0"/>
    </xf>
    <xf numFmtId="0" fontId="11" fillId="3" borderId="18" xfId="0" applyFont="1" applyFill="1" applyBorder="1"/>
    <xf numFmtId="0" fontId="11" fillId="3" borderId="21" xfId="0" applyFont="1" applyFill="1" applyBorder="1"/>
    <xf numFmtId="0" fontId="11" fillId="3" borderId="20" xfId="0" applyFont="1" applyFill="1" applyBorder="1"/>
    <xf numFmtId="0" fontId="10" fillId="3" borderId="26" xfId="0" applyFont="1" applyFill="1" applyBorder="1"/>
    <xf numFmtId="0" fontId="10" fillId="3" borderId="21" xfId="0" applyFont="1" applyFill="1" applyBorder="1"/>
    <xf numFmtId="3" fontId="12" fillId="2" borderId="1" xfId="0" applyNumberFormat="1" applyFont="1" applyFill="1" applyBorder="1" applyProtection="1">
      <protection locked="0"/>
    </xf>
    <xf numFmtId="0" fontId="11" fillId="3" borderId="27" xfId="0" applyFont="1" applyFill="1" applyBorder="1"/>
    <xf numFmtId="3" fontId="26" fillId="3" borderId="4" xfId="0" applyNumberFormat="1" applyFont="1" applyFill="1" applyBorder="1"/>
    <xf numFmtId="3" fontId="10" fillId="3" borderId="4" xfId="0" applyNumberFormat="1" applyFont="1" applyFill="1" applyBorder="1"/>
    <xf numFmtId="3" fontId="11" fillId="2" borderId="0" xfId="0" applyNumberFormat="1" applyFont="1" applyFill="1" applyProtection="1">
      <protection locked="0"/>
    </xf>
    <xf numFmtId="3" fontId="11" fillId="3" borderId="0" xfId="0" applyNumberFormat="1" applyFont="1" applyFill="1"/>
    <xf numFmtId="3" fontId="10" fillId="13" borderId="18" xfId="0" applyNumberFormat="1" applyFont="1" applyFill="1" applyBorder="1" applyAlignment="1">
      <alignment horizontal="right"/>
    </xf>
    <xf numFmtId="3" fontId="10" fillId="13" borderId="20" xfId="0" applyNumberFormat="1" applyFont="1" applyFill="1" applyBorder="1" applyAlignment="1">
      <alignment horizontal="right"/>
    </xf>
    <xf numFmtId="3" fontId="5" fillId="13" borderId="18" xfId="0" applyNumberFormat="1" applyFont="1" applyFill="1" applyBorder="1"/>
    <xf numFmtId="0" fontId="20" fillId="14" borderId="5" xfId="0" applyFont="1" applyFill="1" applyBorder="1"/>
    <xf numFmtId="0" fontId="8" fillId="15" borderId="5" xfId="0" applyFont="1" applyFill="1" applyBorder="1"/>
    <xf numFmtId="3" fontId="28" fillId="15" borderId="16" xfId="0" applyNumberFormat="1" applyFont="1" applyFill="1" applyBorder="1" applyAlignment="1">
      <alignment horizontal="right"/>
    </xf>
    <xf numFmtId="0" fontId="30" fillId="15" borderId="5" xfId="0" applyFont="1" applyFill="1" applyBorder="1"/>
    <xf numFmtId="3" fontId="28" fillId="15" borderId="20" xfId="0" applyNumberFormat="1" applyFont="1" applyFill="1" applyBorder="1" applyAlignment="1">
      <alignment horizontal="right"/>
    </xf>
    <xf numFmtId="3" fontId="33" fillId="15" borderId="16" xfId="0" applyNumberFormat="1" applyFont="1" applyFill="1" applyBorder="1"/>
    <xf numFmtId="3" fontId="19" fillId="14" borderId="16" xfId="0" applyNumberFormat="1" applyFont="1" applyFill="1" applyBorder="1"/>
    <xf numFmtId="0" fontId="20" fillId="14" borderId="4" xfId="0" applyFont="1" applyFill="1" applyBorder="1"/>
    <xf numFmtId="3" fontId="19" fillId="14" borderId="28" xfId="0" applyNumberFormat="1" applyFont="1" applyFill="1" applyBorder="1" applyAlignment="1">
      <alignment horizontal="right"/>
    </xf>
    <xf numFmtId="3" fontId="34" fillId="13" borderId="18" xfId="0" applyNumberFormat="1" applyFont="1" applyFill="1" applyBorder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5" fillId="0" borderId="1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Protection="1">
      <protection locked="0"/>
    </xf>
    <xf numFmtId="0" fontId="35" fillId="0" borderId="0" xfId="0" applyFont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Protection="1">
      <protection locked="0"/>
    </xf>
    <xf numFmtId="3" fontId="12" fillId="16" borderId="0" xfId="0" applyNumberFormat="1" applyFont="1" applyFill="1" applyProtection="1">
      <protection locked="0"/>
    </xf>
    <xf numFmtId="2" fontId="36" fillId="7" borderId="0" xfId="0" applyNumberFormat="1" applyFont="1" applyFill="1"/>
    <xf numFmtId="0" fontId="11" fillId="17" borderId="26" xfId="0" applyFont="1" applyFill="1" applyBorder="1"/>
    <xf numFmtId="0" fontId="10" fillId="17" borderId="26" xfId="0" applyFont="1" applyFill="1" applyBorder="1"/>
    <xf numFmtId="0" fontId="11" fillId="17" borderId="18" xfId="0" applyFont="1" applyFill="1" applyBorder="1"/>
    <xf numFmtId="0" fontId="4" fillId="16" borderId="0" xfId="0" applyFont="1" applyFill="1"/>
    <xf numFmtId="3" fontId="11" fillId="0" borderId="1" xfId="0" applyNumberFormat="1" applyFont="1" applyBorder="1" applyProtection="1">
      <protection locked="0"/>
    </xf>
    <xf numFmtId="0" fontId="21" fillId="2" borderId="29" xfId="0" applyFont="1" applyFill="1" applyBorder="1"/>
    <xf numFmtId="0" fontId="18" fillId="2" borderId="15" xfId="0" applyFont="1" applyFill="1" applyBorder="1"/>
    <xf numFmtId="3" fontId="18" fillId="2" borderId="22" xfId="0" applyNumberFormat="1" applyFont="1" applyFill="1" applyBorder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/>
    <xf numFmtId="2" fontId="4" fillId="6" borderId="0" xfId="0" applyNumberFormat="1" applyFont="1" applyFill="1"/>
    <xf numFmtId="3" fontId="5" fillId="6" borderId="18" xfId="0" applyNumberFormat="1" applyFont="1" applyFill="1" applyBorder="1"/>
    <xf numFmtId="3" fontId="34" fillId="13" borderId="18" xfId="0" applyNumberFormat="1" applyFont="1" applyFill="1" applyBorder="1" applyAlignment="1">
      <alignment horizontal="right"/>
    </xf>
    <xf numFmtId="0" fontId="4" fillId="10" borderId="0" xfId="0" applyFont="1" applyFill="1"/>
    <xf numFmtId="0" fontId="2" fillId="0" borderId="1" xfId="0" applyFont="1" applyBorder="1"/>
    <xf numFmtId="49" fontId="4" fillId="9" borderId="0" xfId="0" applyNumberFormat="1" applyFont="1" applyFill="1"/>
    <xf numFmtId="3" fontId="5" fillId="9" borderId="18" xfId="0" applyNumberFormat="1" applyFont="1" applyFill="1" applyBorder="1"/>
    <xf numFmtId="0" fontId="2" fillId="0" borderId="11" xfId="0" applyFont="1" applyBorder="1"/>
    <xf numFmtId="0" fontId="36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/>
    <xf numFmtId="0" fontId="17" fillId="18" borderId="0" xfId="0" applyFont="1" applyFill="1"/>
    <xf numFmtId="3" fontId="4" fillId="0" borderId="0" xfId="0" applyNumberFormat="1" applyFont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0" fontId="2" fillId="19" borderId="0" xfId="0" applyFont="1" applyFill="1"/>
    <xf numFmtId="0" fontId="1" fillId="19" borderId="0" xfId="0" applyFont="1" applyFill="1"/>
    <xf numFmtId="0" fontId="1" fillId="19" borderId="1" xfId="0" applyFont="1" applyFill="1" applyBorder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2" fontId="2" fillId="7" borderId="0" xfId="0" applyNumberFormat="1" applyFont="1" applyFill="1"/>
    <xf numFmtId="0" fontId="11" fillId="0" borderId="0" xfId="0" applyFont="1"/>
    <xf numFmtId="0" fontId="36" fillId="0" borderId="4" xfId="0" applyFont="1" applyBorder="1"/>
    <xf numFmtId="0" fontId="10" fillId="12" borderId="2" xfId="0" applyFont="1" applyFill="1" applyBorder="1"/>
    <xf numFmtId="0" fontId="10" fillId="3" borderId="18" xfId="0" applyFont="1" applyFill="1" applyBorder="1"/>
    <xf numFmtId="0" fontId="25" fillId="3" borderId="28" xfId="0" applyFont="1" applyFill="1" applyBorder="1"/>
    <xf numFmtId="3" fontId="11" fillId="16" borderId="1" xfId="0" applyNumberFormat="1" applyFont="1" applyFill="1" applyBorder="1" applyProtection="1">
      <protection locked="0"/>
    </xf>
    <xf numFmtId="49" fontId="10" fillId="13" borderId="1" xfId="0" applyNumberFormat="1" applyFont="1" applyFill="1" applyBorder="1" applyAlignment="1">
      <alignment horizontal="right"/>
    </xf>
    <xf numFmtId="0" fontId="5" fillId="6" borderId="18" xfId="0" applyFont="1" applyFill="1" applyBorder="1" applyAlignment="1">
      <alignment horizontal="right"/>
    </xf>
    <xf numFmtId="0" fontId="39" fillId="3" borderId="26" xfId="0" applyFont="1" applyFill="1" applyBorder="1"/>
    <xf numFmtId="165" fontId="10" fillId="13" borderId="0" xfId="1" applyNumberFormat="1" applyFont="1" applyFill="1" applyBorder="1" applyAlignment="1" applyProtection="1">
      <alignment horizontal="right"/>
    </xf>
    <xf numFmtId="3" fontId="2" fillId="0" borderId="0" xfId="0" applyNumberFormat="1" applyFont="1"/>
    <xf numFmtId="0" fontId="20" fillId="20" borderId="5" xfId="0" applyFont="1" applyFill="1" applyBorder="1"/>
    <xf numFmtId="0" fontId="2" fillId="21" borderId="4" xfId="0" applyFont="1" applyFill="1" applyBorder="1"/>
    <xf numFmtId="0" fontId="15" fillId="21" borderId="4" xfId="0" applyFont="1" applyFill="1" applyBorder="1"/>
    <xf numFmtId="0" fontId="17" fillId="22" borderId="0" xfId="0" applyFont="1" applyFill="1"/>
    <xf numFmtId="0" fontId="0" fillId="22" borderId="0" xfId="0" applyFill="1"/>
    <xf numFmtId="1" fontId="10" fillId="1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3" borderId="0" xfId="0" applyFont="1" applyFill="1"/>
    <xf numFmtId="9" fontId="10" fillId="13" borderId="0" xfId="1" applyFont="1" applyFill="1" applyBorder="1" applyAlignment="1" applyProtection="1">
      <alignment horizontal="right"/>
    </xf>
    <xf numFmtId="3" fontId="43" fillId="13" borderId="18" xfId="0" applyNumberFormat="1" applyFont="1" applyFill="1" applyBorder="1" applyAlignment="1">
      <alignment horizontal="right"/>
    </xf>
    <xf numFmtId="0" fontId="14" fillId="3" borderId="23" xfId="0" applyFont="1" applyFill="1" applyBorder="1"/>
    <xf numFmtId="0" fontId="11" fillId="3" borderId="28" xfId="0" applyFont="1" applyFill="1" applyBorder="1"/>
    <xf numFmtId="0" fontId="20" fillId="16" borderId="14" xfId="0" applyFont="1" applyFill="1" applyBorder="1"/>
    <xf numFmtId="3" fontId="19" fillId="16" borderId="23" xfId="0" applyNumberFormat="1" applyFont="1" applyFill="1" applyBorder="1"/>
    <xf numFmtId="3" fontId="19" fillId="20" borderId="16" xfId="0" applyNumberFormat="1" applyFont="1" applyFill="1" applyBorder="1"/>
    <xf numFmtId="3" fontId="19" fillId="14" borderId="28" xfId="0" applyNumberFormat="1" applyFont="1" applyFill="1" applyBorder="1"/>
    <xf numFmtId="4" fontId="0" fillId="0" borderId="0" xfId="0" applyNumberFormat="1"/>
    <xf numFmtId="0" fontId="40" fillId="16" borderId="13" xfId="0" applyFont="1" applyFill="1" applyBorder="1"/>
    <xf numFmtId="0" fontId="21" fillId="2" borderId="26" xfId="0" applyFont="1" applyFill="1" applyBorder="1"/>
    <xf numFmtId="0" fontId="10" fillId="12" borderId="0" xfId="0" applyFont="1" applyFill="1"/>
    <xf numFmtId="0" fontId="0" fillId="24" borderId="0" xfId="0" applyFill="1"/>
    <xf numFmtId="0" fontId="13" fillId="6" borderId="32" xfId="0" applyFont="1" applyFill="1" applyBorder="1"/>
    <xf numFmtId="0" fontId="10" fillId="12" borderId="19" xfId="0" applyFont="1" applyFill="1" applyBorder="1"/>
    <xf numFmtId="0" fontId="10" fillId="12" borderId="33" xfId="0" applyFont="1" applyFill="1" applyBorder="1"/>
    <xf numFmtId="0" fontId="28" fillId="15" borderId="34" xfId="0" applyFont="1" applyFill="1" applyBorder="1"/>
    <xf numFmtId="3" fontId="4" fillId="13" borderId="18" xfId="0" applyNumberFormat="1" applyFont="1" applyFill="1" applyBorder="1"/>
    <xf numFmtId="0" fontId="19" fillId="14" borderId="17" xfId="0" applyFont="1" applyFill="1" applyBorder="1"/>
    <xf numFmtId="0" fontId="32" fillId="11" borderId="26" xfId="0" applyFont="1" applyFill="1" applyBorder="1"/>
    <xf numFmtId="0" fontId="32" fillId="11" borderId="21" xfId="0" applyFont="1" applyFill="1" applyBorder="1"/>
    <xf numFmtId="0" fontId="19" fillId="14" borderId="35" xfId="0" applyFont="1" applyFill="1" applyBorder="1"/>
    <xf numFmtId="0" fontId="19" fillId="20" borderId="35" xfId="0" applyFont="1" applyFill="1" applyBorder="1"/>
    <xf numFmtId="0" fontId="19" fillId="14" borderId="27" xfId="0" applyFont="1" applyFill="1" applyBorder="1"/>
    <xf numFmtId="0" fontId="19" fillId="14" borderId="29" xfId="0" applyFont="1" applyFill="1" applyBorder="1"/>
    <xf numFmtId="0" fontId="20" fillId="14" borderId="15" xfId="0" applyFont="1" applyFill="1" applyBorder="1"/>
    <xf numFmtId="3" fontId="19" fillId="14" borderId="22" xfId="0" applyNumberFormat="1" applyFont="1" applyFill="1" applyBorder="1"/>
    <xf numFmtId="0" fontId="44" fillId="0" borderId="29" xfId="0" applyFont="1" applyBorder="1"/>
    <xf numFmtId="0" fontId="10" fillId="17" borderId="36" xfId="0" applyFont="1" applyFill="1" applyBorder="1" applyAlignment="1">
      <alignment horizontal="left" vertical="top" wrapText="1"/>
    </xf>
    <xf numFmtId="3" fontId="11" fillId="2" borderId="30" xfId="0" applyNumberFormat="1" applyFont="1" applyFill="1" applyBorder="1" applyProtection="1">
      <protection locked="0"/>
    </xf>
    <xf numFmtId="0" fontId="11" fillId="17" borderId="31" xfId="0" applyFont="1" applyFill="1" applyBorder="1"/>
    <xf numFmtId="0" fontId="19" fillId="6" borderId="36" xfId="0" applyFont="1" applyFill="1" applyBorder="1" applyAlignment="1">
      <alignment horizontal="right"/>
    </xf>
    <xf numFmtId="3" fontId="19" fillId="6" borderId="31" xfId="0" applyNumberFormat="1" applyFont="1" applyFill="1" applyBorder="1" applyAlignment="1">
      <alignment horizontal="right"/>
    </xf>
    <xf numFmtId="3" fontId="34" fillId="13" borderId="38" xfId="0" applyNumberFormat="1" applyFont="1" applyFill="1" applyBorder="1" applyAlignment="1">
      <alignment horizontal="right"/>
    </xf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/>
    <xf numFmtId="49" fontId="10" fillId="13" borderId="0" xfId="0" applyNumberFormat="1" applyFont="1" applyFill="1" applyAlignment="1">
      <alignment horizontal="right"/>
    </xf>
    <xf numFmtId="49" fontId="10" fillId="13" borderId="4" xfId="0" applyNumberFormat="1" applyFont="1" applyFill="1" applyBorder="1" applyAlignment="1">
      <alignment horizontal="right"/>
    </xf>
    <xf numFmtId="0" fontId="18" fillId="6" borderId="0" xfId="0" applyFont="1" applyFill="1"/>
    <xf numFmtId="3" fontId="5" fillId="6" borderId="0" xfId="0" applyNumberFormat="1" applyFont="1" applyFill="1"/>
    <xf numFmtId="3" fontId="15" fillId="0" borderId="0" xfId="0" applyNumberFormat="1" applyFont="1"/>
    <xf numFmtId="0" fontId="2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18" borderId="1" xfId="0" applyFont="1" applyFill="1" applyBorder="1"/>
    <xf numFmtId="165" fontId="10" fillId="13" borderId="37" xfId="1" applyNumberFormat="1" applyFont="1" applyFill="1" applyBorder="1" applyAlignment="1">
      <alignment horizontal="right"/>
    </xf>
    <xf numFmtId="0" fontId="11" fillId="3" borderId="26" xfId="0" applyFont="1" applyFill="1" applyBorder="1" applyAlignment="1">
      <alignment wrapText="1"/>
    </xf>
    <xf numFmtId="0" fontId="48" fillId="3" borderId="26" xfId="0" applyFont="1" applyFill="1" applyBorder="1"/>
    <xf numFmtId="0" fontId="50" fillId="3" borderId="18" xfId="0" applyFont="1" applyFill="1" applyBorder="1"/>
    <xf numFmtId="0" fontId="42" fillId="6" borderId="14" xfId="0" applyFont="1" applyFill="1" applyBorder="1"/>
    <xf numFmtId="0" fontId="11" fillId="12" borderId="2" xfId="0" applyFont="1" applyFill="1" applyBorder="1"/>
    <xf numFmtId="0" fontId="12" fillId="0" borderId="0" xfId="0" applyFont="1" applyAlignment="1" applyProtection="1">
      <alignment horizontal="center"/>
      <protection locked="0"/>
    </xf>
    <xf numFmtId="0" fontId="25" fillId="3" borderId="18" xfId="0" applyFont="1" applyFill="1" applyBorder="1"/>
    <xf numFmtId="0" fontId="39" fillId="3" borderId="0" xfId="0" applyFont="1" applyFill="1"/>
    <xf numFmtId="3" fontId="49" fillId="16" borderId="0" xfId="0" applyNumberFormat="1" applyFont="1" applyFill="1" applyProtection="1">
      <protection locked="0"/>
    </xf>
    <xf numFmtId="3" fontId="12" fillId="17" borderId="0" xfId="0" applyNumberFormat="1" applyFont="1" applyFill="1" applyProtection="1">
      <protection locked="0"/>
    </xf>
    <xf numFmtId="0" fontId="10" fillId="17" borderId="29" xfId="0" applyFont="1" applyFill="1" applyBorder="1"/>
    <xf numFmtId="3" fontId="11" fillId="2" borderId="15" xfId="0" applyNumberFormat="1" applyFont="1" applyFill="1" applyBorder="1" applyProtection="1">
      <protection locked="0"/>
    </xf>
    <xf numFmtId="0" fontId="11" fillId="17" borderId="22" xfId="0" applyFont="1" applyFill="1" applyBorder="1"/>
    <xf numFmtId="3" fontId="10" fillId="13" borderId="28" xfId="0" applyNumberFormat="1" applyFont="1" applyFill="1" applyBorder="1" applyAlignment="1">
      <alignment horizontal="right"/>
    </xf>
    <xf numFmtId="0" fontId="10" fillId="13" borderId="0" xfId="0" applyFont="1" applyFill="1"/>
    <xf numFmtId="0" fontId="24" fillId="13" borderId="0" xfId="0" applyFont="1" applyFill="1" applyAlignment="1">
      <alignment horizontal="left"/>
    </xf>
    <xf numFmtId="0" fontId="24" fillId="13" borderId="0" xfId="0" applyFont="1" applyFill="1"/>
    <xf numFmtId="0" fontId="19" fillId="11" borderId="0" xfId="0" applyFont="1" applyFill="1"/>
    <xf numFmtId="0" fontId="4" fillId="11" borderId="0" xfId="0" applyFont="1" applyFill="1"/>
    <xf numFmtId="0" fontId="27" fillId="12" borderId="17" xfId="0" applyFont="1" applyFill="1" applyBorder="1"/>
    <xf numFmtId="0" fontId="2" fillId="13" borderId="0" xfId="0" applyFont="1" applyFill="1"/>
    <xf numFmtId="0" fontId="10" fillId="12" borderId="39" xfId="0" applyFont="1" applyFill="1" applyBorder="1"/>
    <xf numFmtId="2" fontId="10" fillId="13" borderId="0" xfId="0" applyNumberFormat="1" applyFont="1" applyFill="1" applyAlignment="1">
      <alignment horizontal="right"/>
    </xf>
    <xf numFmtId="165" fontId="2" fillId="13" borderId="0" xfId="0" applyNumberFormat="1" applyFont="1" applyFill="1"/>
    <xf numFmtId="0" fontId="18" fillId="2" borderId="0" xfId="0" applyFont="1" applyFill="1"/>
    <xf numFmtId="0" fontId="40" fillId="2" borderId="26" xfId="0" applyFont="1" applyFill="1" applyBorder="1"/>
    <xf numFmtId="3" fontId="11" fillId="16" borderId="0" xfId="0" applyNumberFormat="1" applyFont="1" applyFill="1" applyAlignment="1" applyProtection="1">
      <alignment horizontal="center"/>
      <protection locked="0"/>
    </xf>
    <xf numFmtId="0" fontId="40" fillId="3" borderId="40" xfId="0" applyFont="1" applyFill="1" applyBorder="1"/>
    <xf numFmtId="0" fontId="10" fillId="3" borderId="41" xfId="0" applyFont="1" applyFill="1" applyBorder="1"/>
    <xf numFmtId="0" fontId="10" fillId="3" borderId="42" xfId="0" applyFont="1" applyFill="1" applyBorder="1"/>
    <xf numFmtId="0" fontId="11" fillId="3" borderId="43" xfId="0" applyFont="1" applyFill="1" applyBorder="1"/>
    <xf numFmtId="0" fontId="12" fillId="0" borderId="44" xfId="0" applyFont="1" applyBorder="1" applyAlignment="1" applyProtection="1">
      <alignment horizontal="center"/>
      <protection locked="0"/>
    </xf>
    <xf numFmtId="0" fontId="25" fillId="3" borderId="45" xfId="0" applyFont="1" applyFill="1" applyBorder="1"/>
    <xf numFmtId="0" fontId="5" fillId="6" borderId="24" xfId="0" applyFont="1" applyFill="1" applyBorder="1" applyAlignment="1">
      <alignment horizontal="right"/>
    </xf>
    <xf numFmtId="0" fontId="4" fillId="6" borderId="25" xfId="0" applyFont="1" applyFill="1" applyBorder="1" applyAlignment="1">
      <alignment horizontal="right"/>
    </xf>
    <xf numFmtId="0" fontId="13" fillId="6" borderId="14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164" fontId="0" fillId="23" borderId="0" xfId="0" applyNumberFormat="1" applyFill="1"/>
    <xf numFmtId="0" fontId="10" fillId="3" borderId="0" xfId="0" applyFont="1" applyFill="1" applyBorder="1"/>
    <xf numFmtId="0" fontId="11" fillId="3" borderId="0" xfId="0" applyFont="1" applyFill="1" applyBorder="1"/>
    <xf numFmtId="0" fontId="11" fillId="12" borderId="46" xfId="0" applyFont="1" applyFill="1" applyBorder="1"/>
    <xf numFmtId="0" fontId="10" fillId="12" borderId="47" xfId="0" applyFont="1" applyFill="1" applyBorder="1"/>
    <xf numFmtId="0" fontId="10" fillId="12" borderId="48" xfId="0" applyFont="1" applyFill="1" applyBorder="1"/>
    <xf numFmtId="0" fontId="28" fillId="15" borderId="3" xfId="0" applyFon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52"/>
      <c r="B2" s="33" t="s">
        <v>17</v>
      </c>
      <c r="C2" s="34"/>
      <c r="D2" s="34"/>
      <c r="E2" s="34"/>
      <c r="F2" s="34"/>
      <c r="G2" s="34"/>
      <c r="H2" s="34"/>
      <c r="I2" s="54"/>
    </row>
    <row r="3" spans="1:9" x14ac:dyDescent="0.2">
      <c r="A3" s="59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78">
        <v>7</v>
      </c>
    </row>
    <row r="4" spans="1:9" x14ac:dyDescent="0.2">
      <c r="A4" s="59" t="s">
        <v>47</v>
      </c>
      <c r="B4" s="1" t="s">
        <v>87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79">
        <v>0</v>
      </c>
    </row>
    <row r="5" spans="1:9" x14ac:dyDescent="0.2">
      <c r="A5" s="59"/>
      <c r="B5" s="1" t="s">
        <v>81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79">
        <v>0</v>
      </c>
    </row>
    <row r="6" spans="1:9" x14ac:dyDescent="0.2">
      <c r="A6" s="59" t="s">
        <v>50</v>
      </c>
      <c r="B6" s="1" t="s">
        <v>88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79">
        <v>0</v>
      </c>
    </row>
    <row r="7" spans="1:9" x14ac:dyDescent="0.2">
      <c r="A7" s="59"/>
      <c r="B7" s="1" t="s">
        <v>90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79">
        <v>0</v>
      </c>
    </row>
    <row r="8" spans="1:9" x14ac:dyDescent="0.2">
      <c r="A8" s="59" t="s">
        <v>48</v>
      </c>
      <c r="B8" s="1" t="s">
        <v>89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79">
        <v>0</v>
      </c>
    </row>
    <row r="9" spans="1:9" x14ac:dyDescent="0.2">
      <c r="A9" s="59"/>
      <c r="B9" s="3" t="s">
        <v>91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80">
        <v>0</v>
      </c>
    </row>
    <row r="10" spans="1:9" x14ac:dyDescent="0.2">
      <c r="A10" s="59" t="s">
        <v>61</v>
      </c>
      <c r="B10" s="1" t="s">
        <v>83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79">
        <v>0</v>
      </c>
    </row>
    <row r="11" spans="1:9" x14ac:dyDescent="0.2">
      <c r="A11" s="59"/>
      <c r="B11" s="1" t="s">
        <v>84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79">
        <v>0</v>
      </c>
    </row>
    <row r="12" spans="1:9" x14ac:dyDescent="0.2">
      <c r="A12" s="59"/>
      <c r="B12" s="1" t="s">
        <v>82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79">
        <v>0</v>
      </c>
    </row>
    <row r="13" spans="1:9" x14ac:dyDescent="0.2">
      <c r="A13" s="59" t="s">
        <v>142</v>
      </c>
      <c r="B13" s="1" t="s">
        <v>83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79">
        <v>0</v>
      </c>
    </row>
    <row r="14" spans="1:9" x14ac:dyDescent="0.2">
      <c r="A14" s="74"/>
      <c r="B14" s="1" t="s">
        <v>85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79">
        <v>0</v>
      </c>
    </row>
    <row r="15" spans="1:9" x14ac:dyDescent="0.2">
      <c r="A15" s="1"/>
      <c r="B15" s="1" t="s">
        <v>86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5">
        <v>0</v>
      </c>
    </row>
    <row r="16" spans="1:9" x14ac:dyDescent="0.2">
      <c r="A16" s="59" t="s">
        <v>140</v>
      </c>
      <c r="B16" s="1" t="s">
        <v>83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79">
        <v>0</v>
      </c>
    </row>
    <row r="17" spans="1:10" x14ac:dyDescent="0.2">
      <c r="A17" s="74"/>
      <c r="B17" s="1" t="s">
        <v>85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79">
        <v>0</v>
      </c>
    </row>
    <row r="18" spans="1:10" x14ac:dyDescent="0.2">
      <c r="A18" s="60"/>
      <c r="B18" s="3" t="s">
        <v>86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81">
        <v>0</v>
      </c>
    </row>
    <row r="19" spans="1:10" x14ac:dyDescent="0.2">
      <c r="A19" s="1"/>
      <c r="B19" s="1"/>
      <c r="C19" s="13"/>
      <c r="D19" s="13"/>
      <c r="E19" s="13"/>
      <c r="F19" s="13"/>
      <c r="G19" s="13"/>
      <c r="H19" s="13"/>
      <c r="I19" s="13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52"/>
      <c r="B21" s="33" t="s">
        <v>141</v>
      </c>
      <c r="C21" s="34"/>
      <c r="D21" s="34"/>
      <c r="E21" s="54"/>
      <c r="F21" s="1"/>
      <c r="G21" s="1"/>
      <c r="H21" s="1"/>
      <c r="I21" s="1"/>
    </row>
    <row r="22" spans="1:10" ht="15" x14ac:dyDescent="0.25">
      <c r="A22" s="59" t="s">
        <v>47</v>
      </c>
      <c r="B22" s="34" t="s">
        <v>87</v>
      </c>
      <c r="C22" s="36">
        <f>IF((Satser!M2+Satser!M3*0.6)&lt;200,(Satser!M2+Satser!M3*0.6),200)</f>
        <v>0</v>
      </c>
      <c r="D22" s="36" t="e">
        <f>HLOOKUP(#REF!,AK_korn3,2)</f>
        <v>#REF!</v>
      </c>
      <c r="E22" s="65" t="e">
        <f t="shared" ref="E22:E32" si="0">C22*D22</f>
        <v>#REF!</v>
      </c>
      <c r="F22" s="30"/>
      <c r="G22" s="1"/>
      <c r="H22" s="20" t="s">
        <v>47</v>
      </c>
      <c r="I22" s="19" t="e">
        <f>#REF!</f>
        <v>#REF!</v>
      </c>
      <c r="J22" s="21" t="s">
        <v>3</v>
      </c>
    </row>
    <row r="23" spans="1:10" ht="15" x14ac:dyDescent="0.25">
      <c r="A23" s="59"/>
      <c r="B23" s="3" t="s">
        <v>81</v>
      </c>
      <c r="C23" s="31">
        <f>IF(C22=200,(I22+I23*0.6)-200,0)</f>
        <v>0</v>
      </c>
      <c r="D23" s="31" t="e">
        <f>HLOOKUP(#REF!,AK_korn3,3)</f>
        <v>#REF!</v>
      </c>
      <c r="E23" s="65" t="e">
        <f t="shared" si="0"/>
        <v>#REF!</v>
      </c>
      <c r="F23" s="30"/>
      <c r="G23" s="1"/>
      <c r="H23" s="20" t="s">
        <v>52</v>
      </c>
      <c r="I23" s="19" t="e">
        <f>#REF!</f>
        <v>#REF!</v>
      </c>
      <c r="J23" s="21" t="s">
        <v>3</v>
      </c>
    </row>
    <row r="24" spans="1:10" x14ac:dyDescent="0.2">
      <c r="A24" s="59" t="s">
        <v>50</v>
      </c>
      <c r="B24" s="34" t="s">
        <v>88</v>
      </c>
      <c r="C24" s="31" t="e">
        <f>IF((#REF!)&lt;150,(#REF!),150)</f>
        <v>#REF!</v>
      </c>
      <c r="D24" s="36" t="e">
        <f>HLOOKUP(#REF!,AK_korn3,4)</f>
        <v>#REF!</v>
      </c>
      <c r="E24" s="65" t="e">
        <f t="shared" si="0"/>
        <v>#REF!</v>
      </c>
      <c r="F24" s="30"/>
      <c r="G24" s="1"/>
      <c r="H24" s="1"/>
      <c r="I24" s="1"/>
    </row>
    <row r="25" spans="1:10" x14ac:dyDescent="0.2">
      <c r="A25" s="59"/>
      <c r="B25" s="3" t="s">
        <v>90</v>
      </c>
      <c r="C25" s="31" t="e">
        <f>IF((#REF!)&gt;150,(#REF!)-150)</f>
        <v>#REF!</v>
      </c>
      <c r="D25" s="31" t="e">
        <f>HLOOKUP(#REF!,AK_korn3,5)</f>
        <v>#REF!</v>
      </c>
      <c r="E25" s="65" t="e">
        <f t="shared" si="0"/>
        <v>#REF!</v>
      </c>
      <c r="F25" s="30"/>
      <c r="G25" s="1"/>
      <c r="H25" s="1"/>
      <c r="I25" s="1"/>
    </row>
    <row r="26" spans="1:10" x14ac:dyDescent="0.2">
      <c r="A26" s="59" t="s">
        <v>48</v>
      </c>
      <c r="B26" s="34" t="s">
        <v>89</v>
      </c>
      <c r="C26" s="36" t="e">
        <f>IF((#REF!)&lt;800,(#REF!),800)</f>
        <v>#REF!</v>
      </c>
      <c r="D26" s="36" t="e">
        <f>HLOOKUP(#REF!,AK_korn3,6)</f>
        <v>#REF!</v>
      </c>
      <c r="E26" s="65" t="e">
        <f t="shared" si="0"/>
        <v>#REF!</v>
      </c>
      <c r="F26" s="30"/>
      <c r="G26" s="1"/>
      <c r="H26" s="1"/>
    </row>
    <row r="27" spans="1:10" x14ac:dyDescent="0.2">
      <c r="A27" s="59"/>
      <c r="B27" s="1" t="s">
        <v>91</v>
      </c>
      <c r="C27" s="30" t="e">
        <f>IF((#REF!)&lt;800,0,(#REF!)-800)</f>
        <v>#REF!</v>
      </c>
      <c r="D27" s="30" t="e">
        <f>HLOOKUP(#REF!,AK_korn3,7)</f>
        <v>#REF!</v>
      </c>
      <c r="E27" s="65" t="e">
        <f t="shared" si="0"/>
        <v>#REF!</v>
      </c>
      <c r="F27" s="30"/>
      <c r="G27" s="1"/>
      <c r="H27" s="1"/>
    </row>
    <row r="28" spans="1:10" x14ac:dyDescent="0.2">
      <c r="A28" s="59" t="s">
        <v>61</v>
      </c>
      <c r="B28" s="34" t="s">
        <v>83</v>
      </c>
      <c r="C28" s="36" t="e">
        <f>IF((#REF!)&lt;30,(#REF!),30)</f>
        <v>#REF!</v>
      </c>
      <c r="D28" s="36" t="e">
        <f>HLOOKUP(#REF!,AK_korn3,8)</f>
        <v>#REF!</v>
      </c>
      <c r="E28" s="65" t="e">
        <f t="shared" si="0"/>
        <v>#REF!</v>
      </c>
      <c r="F28" s="32"/>
      <c r="G28" s="1"/>
      <c r="H28" s="1"/>
    </row>
    <row r="29" spans="1:10" x14ac:dyDescent="0.2">
      <c r="A29" s="59"/>
      <c r="B29" s="1" t="s">
        <v>84</v>
      </c>
      <c r="C29" s="30" t="e">
        <f>IF(AND(C28=30,C30=0),#REF!-30,IF(C30&gt;0,30,0))</f>
        <v>#REF!</v>
      </c>
      <c r="D29" s="36" t="e">
        <f>HLOOKUP(#REF!,AK_korn3,9)</f>
        <v>#REF!</v>
      </c>
      <c r="E29" s="65" t="e">
        <f t="shared" si="0"/>
        <v>#REF!</v>
      </c>
      <c r="F29" s="32"/>
      <c r="G29" s="1"/>
      <c r="H29" s="1"/>
    </row>
    <row r="30" spans="1:10" x14ac:dyDescent="0.2">
      <c r="A30" s="59"/>
      <c r="B30" s="1" t="s">
        <v>82</v>
      </c>
      <c r="C30" s="30" t="e">
        <f>IF(#REF!&gt;60,#REF!-60,0)</f>
        <v>#REF!</v>
      </c>
      <c r="D30" s="36" t="e">
        <f>HLOOKUP(#REF!,AK_korn3,10)</f>
        <v>#REF!</v>
      </c>
      <c r="E30" s="65" t="e">
        <f t="shared" si="0"/>
        <v>#REF!</v>
      </c>
      <c r="F30" s="32"/>
      <c r="G30" s="1"/>
      <c r="H30" s="1"/>
    </row>
    <row r="31" spans="1:10" x14ac:dyDescent="0.2">
      <c r="A31" s="59" t="s">
        <v>142</v>
      </c>
      <c r="B31" s="34" t="s">
        <v>83</v>
      </c>
      <c r="C31" s="36" t="e">
        <f>IF((#REF!)&lt;30,(#REF!),30)</f>
        <v>#REF!</v>
      </c>
      <c r="D31" s="36" t="e">
        <f>HLOOKUP(#REF!,AK_korn3,11)</f>
        <v>#REF!</v>
      </c>
      <c r="E31" s="65" t="e">
        <f t="shared" si="0"/>
        <v>#REF!</v>
      </c>
      <c r="F31" s="32"/>
      <c r="G31" s="1"/>
      <c r="H31" s="1"/>
    </row>
    <row r="32" spans="1:10" x14ac:dyDescent="0.2">
      <c r="A32" s="74"/>
      <c r="B32" s="1" t="s">
        <v>85</v>
      </c>
      <c r="C32" s="30" t="e">
        <f>IF(C30&lt;30,0,IF((#REF!)&gt;40,10,(#REF!)-30))</f>
        <v>#REF!</v>
      </c>
      <c r="D32" s="30" t="e">
        <f>HLOOKUP(#REF!,AK_korn3,12)</f>
        <v>#REF!</v>
      </c>
      <c r="E32" s="65" t="e">
        <f t="shared" si="0"/>
        <v>#REF!</v>
      </c>
      <c r="G32" s="1"/>
      <c r="H32" s="1"/>
    </row>
    <row r="33" spans="1:8" x14ac:dyDescent="0.2">
      <c r="A33" s="74"/>
      <c r="B33" s="3" t="s">
        <v>86</v>
      </c>
      <c r="C33" s="31" t="e">
        <f>IF(#REF!&gt;40,#REF!-40,0)</f>
        <v>#REF!</v>
      </c>
      <c r="D33" s="31" t="e">
        <f>HLOOKUP(#REF!,AK_korn3,13)</f>
        <v>#REF!</v>
      </c>
      <c r="E33" s="96" t="e">
        <f>C33*D33</f>
        <v>#REF!</v>
      </c>
      <c r="F33" s="32"/>
      <c r="G33" s="1"/>
      <c r="H33" s="1"/>
    </row>
    <row r="34" spans="1:8" x14ac:dyDescent="0.2">
      <c r="A34" s="59" t="s">
        <v>140</v>
      </c>
      <c r="B34" s="34" t="s">
        <v>83</v>
      </c>
      <c r="C34" s="36" t="e">
        <f>IF((#REF!)&lt;30,(#REF!),30)</f>
        <v>#REF!</v>
      </c>
      <c r="D34" s="36" t="e">
        <f>HLOOKUP(#REF!,AK_korn3,11)</f>
        <v>#REF!</v>
      </c>
      <c r="E34" s="65" t="e">
        <f>C34*D34</f>
        <v>#REF!</v>
      </c>
      <c r="G34" s="1"/>
      <c r="H34" s="1"/>
    </row>
    <row r="35" spans="1:8" x14ac:dyDescent="0.2">
      <c r="A35" s="74"/>
      <c r="B35" s="1" t="s">
        <v>85</v>
      </c>
      <c r="C35" s="30" t="e">
        <f>IF(C34&lt;30,0,IF((#REF!)&gt;40,10,(#REF!)-30))</f>
        <v>#REF!</v>
      </c>
      <c r="D35" s="30" t="e">
        <f>HLOOKUP(#REF!,AK_korn3,12)</f>
        <v>#REF!</v>
      </c>
      <c r="E35" s="65" t="e">
        <f>C35*D35</f>
        <v>#REF!</v>
      </c>
      <c r="G35" s="1"/>
      <c r="H35" s="1"/>
    </row>
    <row r="36" spans="1:8" x14ac:dyDescent="0.2">
      <c r="A36" s="74"/>
      <c r="B36" s="3" t="s">
        <v>86</v>
      </c>
      <c r="C36" s="31" t="e">
        <f>IF(#REF!&gt;40,#REF!-40,0)</f>
        <v>#REF!</v>
      </c>
      <c r="D36" s="31" t="e">
        <f>HLOOKUP(#REF!,AK_korn3,13)</f>
        <v>#REF!</v>
      </c>
      <c r="E36" s="96" t="e">
        <f>C36*D36</f>
        <v>#REF!</v>
      </c>
      <c r="G36" s="1"/>
      <c r="H36" s="1"/>
    </row>
    <row r="37" spans="1:8" x14ac:dyDescent="0.2">
      <c r="A37" s="68"/>
      <c r="B37" s="4" t="s">
        <v>122</v>
      </c>
      <c r="C37" s="3"/>
      <c r="D37" s="3"/>
      <c r="E37" s="70" t="e">
        <f>SUM(E22:E36)</f>
        <v>#REF!</v>
      </c>
      <c r="F37" s="2"/>
      <c r="G37" s="1"/>
      <c r="H37" s="1"/>
    </row>
    <row r="38" spans="1:8" x14ac:dyDescent="0.2">
      <c r="B38" s="1"/>
      <c r="C38" s="1"/>
      <c r="D38" s="1"/>
      <c r="E38" s="1"/>
      <c r="F38" s="3"/>
      <c r="G38" s="1"/>
      <c r="H38" s="1"/>
    </row>
    <row r="39" spans="1:8" x14ac:dyDescent="0.2">
      <c r="A39" s="1"/>
      <c r="B39" s="52"/>
      <c r="C39" s="34"/>
      <c r="D39" s="34"/>
      <c r="E39" s="53"/>
      <c r="F39" s="56"/>
      <c r="G39" s="1"/>
    </row>
    <row r="40" spans="1:8" x14ac:dyDescent="0.2">
      <c r="A40" s="1"/>
      <c r="B40" s="55" t="s">
        <v>19</v>
      </c>
      <c r="C40" s="1"/>
      <c r="D40" s="1"/>
      <c r="E40" s="1"/>
      <c r="F40" s="56"/>
      <c r="G40" s="1"/>
    </row>
    <row r="41" spans="1:8" x14ac:dyDescent="0.2">
      <c r="A41" s="1"/>
      <c r="B41" s="57" t="s">
        <v>20</v>
      </c>
      <c r="C41" s="4" t="s">
        <v>21</v>
      </c>
      <c r="D41" s="4" t="s">
        <v>22</v>
      </c>
      <c r="E41" s="4" t="s">
        <v>0</v>
      </c>
      <c r="F41" s="58" t="s">
        <v>1</v>
      </c>
      <c r="G41" s="1"/>
    </row>
    <row r="42" spans="1:8" x14ac:dyDescent="0.2">
      <c r="A42" s="1"/>
      <c r="B42" s="55" t="s">
        <v>4</v>
      </c>
      <c r="C42" s="1"/>
      <c r="D42" s="1"/>
      <c r="E42" s="1"/>
      <c r="F42" s="56"/>
      <c r="G42" s="1"/>
    </row>
    <row r="43" spans="1:8" x14ac:dyDescent="0.2">
      <c r="A43" s="1"/>
      <c r="B43" s="59" t="s">
        <v>39</v>
      </c>
      <c r="C43" s="1" t="e">
        <f>IF(#REF!&lt;17,#REF!,16)</f>
        <v>#REF!</v>
      </c>
      <c r="D43" s="13">
        <v>0</v>
      </c>
      <c r="E43" s="1" t="e">
        <f>C43*D43</f>
        <v>#REF!</v>
      </c>
      <c r="F43" s="56"/>
      <c r="G43" s="1"/>
    </row>
    <row r="44" spans="1:8" x14ac:dyDescent="0.2">
      <c r="A44" s="1"/>
      <c r="B44" s="59" t="s">
        <v>24</v>
      </c>
      <c r="C44" s="1" t="e">
        <f>IF(#REF!&lt;17,0,IF(#REF!&lt;26,#REF!-16,9))</f>
        <v>#REF!</v>
      </c>
      <c r="D44" s="13">
        <v>0</v>
      </c>
      <c r="E44" s="1" t="e">
        <f>C44*D44</f>
        <v>#REF!</v>
      </c>
      <c r="F44" s="56"/>
      <c r="G44" s="1"/>
    </row>
    <row r="45" spans="1:8" x14ac:dyDescent="0.2">
      <c r="A45" s="1"/>
      <c r="B45" s="60" t="s">
        <v>40</v>
      </c>
      <c r="C45" s="3" t="e">
        <f>IF(#REF!&lt;26,0,IF(#REF!&lt;51,#REF!-25,25))</f>
        <v>#REF!</v>
      </c>
      <c r="D45" s="12">
        <v>0</v>
      </c>
      <c r="E45" s="3" t="e">
        <f>C45*D45</f>
        <v>#REF!</v>
      </c>
      <c r="F45" s="61"/>
      <c r="G45" s="1"/>
    </row>
    <row r="46" spans="1:8" x14ac:dyDescent="0.2">
      <c r="A46" s="1"/>
      <c r="B46" s="59" t="s">
        <v>123</v>
      </c>
      <c r="C46" s="30"/>
      <c r="D46" s="28"/>
      <c r="E46" s="30"/>
      <c r="F46" s="62" t="e">
        <f>SUM(E43:E45)</f>
        <v>#REF!</v>
      </c>
      <c r="G46" s="1"/>
    </row>
    <row r="47" spans="1:8" x14ac:dyDescent="0.2">
      <c r="A47" s="1"/>
      <c r="B47" s="63" t="s">
        <v>6</v>
      </c>
      <c r="C47" s="34"/>
      <c r="D47" s="35"/>
      <c r="E47" s="34"/>
      <c r="F47" s="54"/>
      <c r="G47" s="1"/>
    </row>
    <row r="48" spans="1:8" x14ac:dyDescent="0.2">
      <c r="A48" s="1"/>
      <c r="B48" s="59" t="s">
        <v>92</v>
      </c>
      <c r="C48" s="1" t="e">
        <f>IF(#REF!&lt;50,#REF!,50)</f>
        <v>#REF!</v>
      </c>
      <c r="D48" s="13">
        <v>0</v>
      </c>
      <c r="E48" s="1" t="e">
        <f>C48*D48</f>
        <v>#REF!</v>
      </c>
      <c r="F48" s="64"/>
      <c r="G48" s="1"/>
    </row>
    <row r="49" spans="1:7" x14ac:dyDescent="0.2">
      <c r="A49" s="1"/>
      <c r="B49" s="60" t="s">
        <v>93</v>
      </c>
      <c r="C49" s="3" t="e">
        <f>IF(#REF!&lt;50,0,IF(#REF!&gt;250,200,#REF!-50))</f>
        <v>#REF!</v>
      </c>
      <c r="D49" s="12">
        <v>0</v>
      </c>
      <c r="E49" s="3" t="e">
        <f>C49*D49</f>
        <v>#REF!</v>
      </c>
      <c r="F49" s="58"/>
      <c r="G49" s="1"/>
    </row>
    <row r="50" spans="1:7" x14ac:dyDescent="0.2">
      <c r="A50" s="1"/>
      <c r="B50" s="60" t="s">
        <v>123</v>
      </c>
      <c r="C50" s="3"/>
      <c r="D50" s="12"/>
      <c r="E50" s="3"/>
      <c r="F50" s="58" t="e">
        <f>SUM(E48:E49)</f>
        <v>#REF!</v>
      </c>
      <c r="G50" s="1"/>
    </row>
    <row r="51" spans="1:7" x14ac:dyDescent="0.2">
      <c r="A51" s="1"/>
      <c r="B51" s="63" t="s">
        <v>7</v>
      </c>
      <c r="C51" s="34"/>
      <c r="D51" s="35"/>
      <c r="E51" s="34"/>
      <c r="F51" s="54"/>
      <c r="G51" s="1"/>
    </row>
    <row r="52" spans="1:7" x14ac:dyDescent="0.2">
      <c r="A52" s="1"/>
      <c r="B52" s="59" t="s">
        <v>41</v>
      </c>
      <c r="C52" s="1" t="e">
        <f>IF(#REF!&lt;125,#REF!,125)</f>
        <v>#REF!</v>
      </c>
      <c r="D52" s="13">
        <v>0</v>
      </c>
      <c r="E52" s="1" t="e">
        <f>C52*D52</f>
        <v>#REF!</v>
      </c>
      <c r="F52" s="56"/>
      <c r="G52" s="1"/>
    </row>
    <row r="53" spans="1:7" x14ac:dyDescent="0.2">
      <c r="A53" s="1"/>
      <c r="B53" s="60" t="s">
        <v>42</v>
      </c>
      <c r="C53" s="3" t="e">
        <f>IF(#REF!&gt;250,125,IF(#REF!&gt;125,#REF!-125,0))</f>
        <v>#REF!</v>
      </c>
      <c r="D53" s="12">
        <v>0</v>
      </c>
      <c r="E53" s="3" t="e">
        <f>C53*D53</f>
        <v>#REF!</v>
      </c>
      <c r="F53" s="61"/>
      <c r="G53" s="1"/>
    </row>
    <row r="54" spans="1:7" x14ac:dyDescent="0.2">
      <c r="A54" s="1"/>
      <c r="B54" s="59" t="s">
        <v>123</v>
      </c>
      <c r="C54" s="1"/>
      <c r="D54" s="13"/>
      <c r="E54" s="1"/>
      <c r="F54" s="58" t="e">
        <f>SUM(E52:E53)</f>
        <v>#REF!</v>
      </c>
      <c r="G54" s="1"/>
    </row>
    <row r="55" spans="1:7" x14ac:dyDescent="0.2">
      <c r="A55" s="1"/>
      <c r="B55" s="63" t="s">
        <v>96</v>
      </c>
      <c r="C55" s="36"/>
      <c r="D55" s="37"/>
      <c r="E55" s="36"/>
      <c r="F55" s="65"/>
      <c r="G55" s="1"/>
    </row>
    <row r="56" spans="1:7" x14ac:dyDescent="0.2">
      <c r="A56" s="1"/>
      <c r="B56" s="59" t="s">
        <v>62</v>
      </c>
      <c r="C56" s="1" t="e">
        <f>IF(#REF!&lt;75,#REF!,75)</f>
        <v>#REF!</v>
      </c>
      <c r="D56" s="13">
        <v>40</v>
      </c>
      <c r="E56" s="1" t="e">
        <f>C56*D56</f>
        <v>#REF!</v>
      </c>
      <c r="F56" s="56"/>
      <c r="G56" s="1"/>
    </row>
    <row r="57" spans="1:7" x14ac:dyDescent="0.2">
      <c r="A57" s="1"/>
      <c r="B57" s="59" t="s">
        <v>143</v>
      </c>
      <c r="C57" s="1" t="e">
        <f>IF(#REF!&lt;75,0,IF(#REF!&lt;100,#REF!-75,25))</f>
        <v>#REF!</v>
      </c>
      <c r="D57" s="13">
        <v>247</v>
      </c>
      <c r="E57" s="1" t="e">
        <f>C57*D57</f>
        <v>#REF!</v>
      </c>
      <c r="F57" s="56"/>
      <c r="G57" s="1"/>
    </row>
    <row r="58" spans="1:7" x14ac:dyDescent="0.2">
      <c r="A58" s="1"/>
      <c r="B58" s="59" t="s">
        <v>144</v>
      </c>
      <c r="C58" s="1" t="e">
        <f>IF(#REF!&lt;100,0,IF(#REF!&lt;200,#REF!-100,100))</f>
        <v>#REF!</v>
      </c>
      <c r="D58" s="13">
        <v>0</v>
      </c>
      <c r="E58" s="1" t="e">
        <f>C58*D58</f>
        <v>#REF!</v>
      </c>
      <c r="F58" s="56"/>
      <c r="G58" s="1"/>
    </row>
    <row r="59" spans="1:7" x14ac:dyDescent="0.2">
      <c r="A59" s="1"/>
      <c r="B59" s="60" t="s">
        <v>97</v>
      </c>
      <c r="C59" s="3" t="e">
        <f>IF(#REF!&lt;200,0,IF(#REF!&gt;200,#REF!-200,0))</f>
        <v>#REF!</v>
      </c>
      <c r="D59" s="12">
        <v>113</v>
      </c>
      <c r="E59" s="3" t="e">
        <f>C59*D59</f>
        <v>#REF!</v>
      </c>
      <c r="F59" s="61"/>
      <c r="G59" s="1"/>
    </row>
    <row r="60" spans="1:7" x14ac:dyDescent="0.2">
      <c r="A60" s="1"/>
      <c r="B60" s="66"/>
      <c r="C60" s="51"/>
      <c r="D60" s="44"/>
      <c r="E60" s="51"/>
      <c r="F60" s="67" t="e">
        <f>SUM(E56:E59)</f>
        <v>#REF!</v>
      </c>
      <c r="G60" s="1"/>
    </row>
    <row r="61" spans="1:7" x14ac:dyDescent="0.2">
      <c r="A61" s="1"/>
      <c r="B61" s="55" t="s">
        <v>126</v>
      </c>
      <c r="C61" s="1"/>
      <c r="D61" s="13"/>
      <c r="E61" s="1"/>
      <c r="F61" s="64"/>
      <c r="G61" s="1"/>
    </row>
    <row r="62" spans="1:7" x14ac:dyDescent="0.2">
      <c r="A62" s="1"/>
      <c r="B62" s="68"/>
      <c r="C62" s="3" t="e">
        <f>IF(#REF!&lt;1000,#REF!,1000)</f>
        <v>#REF!</v>
      </c>
      <c r="D62" s="12">
        <v>0</v>
      </c>
      <c r="E62" s="3" t="e">
        <f>C62*D62</f>
        <v>#REF!</v>
      </c>
      <c r="F62" s="61"/>
      <c r="G62" s="1"/>
    </row>
    <row r="63" spans="1:7" x14ac:dyDescent="0.2">
      <c r="A63" s="1"/>
      <c r="B63" s="60" t="s">
        <v>123</v>
      </c>
      <c r="C63" s="31"/>
      <c r="D63" s="29"/>
      <c r="E63" s="31"/>
      <c r="F63" s="61" t="e">
        <f>E62</f>
        <v>#REF!</v>
      </c>
      <c r="G63" s="1"/>
    </row>
    <row r="64" spans="1:7" x14ac:dyDescent="0.2">
      <c r="A64" s="1"/>
      <c r="B64" s="55"/>
      <c r="C64" s="30"/>
      <c r="D64" s="28"/>
      <c r="E64" s="30"/>
      <c r="F64" s="69"/>
      <c r="G64" s="1"/>
    </row>
    <row r="65" spans="1:7" x14ac:dyDescent="0.2">
      <c r="A65" s="1"/>
      <c r="B65" s="57" t="s">
        <v>138</v>
      </c>
      <c r="C65" s="31"/>
      <c r="D65" s="29"/>
      <c r="E65" s="31"/>
      <c r="F65" s="70" t="e">
        <f>SUM(F42:F63)</f>
        <v>#REF!</v>
      </c>
      <c r="G65" s="1"/>
    </row>
    <row r="66" spans="1:7" x14ac:dyDescent="0.2">
      <c r="A66" s="1"/>
      <c r="B66" s="30"/>
      <c r="C66" s="1"/>
      <c r="D66" s="28"/>
      <c r="E66" s="30"/>
      <c r="F66" s="30"/>
      <c r="G66" s="1"/>
    </row>
    <row r="67" spans="1:7" x14ac:dyDescent="0.2">
      <c r="A67" s="1"/>
      <c r="B67" s="1"/>
      <c r="C67" s="1"/>
      <c r="D67" s="13"/>
      <c r="E67" s="1"/>
      <c r="F67" s="2"/>
      <c r="G67" s="1"/>
    </row>
    <row r="68" spans="1:7" x14ac:dyDescent="0.2">
      <c r="A68" s="1"/>
      <c r="B68" s="63" t="s">
        <v>9</v>
      </c>
      <c r="C68" s="34"/>
      <c r="D68" s="35"/>
      <c r="E68" s="34"/>
      <c r="F68" s="54"/>
      <c r="G68" s="1"/>
    </row>
    <row r="69" spans="1:7" x14ac:dyDescent="0.2">
      <c r="A69" s="1"/>
      <c r="B69" s="75" t="s">
        <v>39</v>
      </c>
      <c r="C69" s="1" t="e">
        <f>IF(#REF!&lt;17,#REF!,16)</f>
        <v>#REF!</v>
      </c>
      <c r="D69" s="13">
        <v>0</v>
      </c>
      <c r="E69" s="1" t="e">
        <f>C69*D69</f>
        <v>#REF!</v>
      </c>
      <c r="F69" s="56"/>
      <c r="G69" s="1"/>
    </row>
    <row r="70" spans="1:7" x14ac:dyDescent="0.2">
      <c r="A70" s="1"/>
      <c r="B70" s="59" t="s">
        <v>24</v>
      </c>
      <c r="C70" s="1" t="e">
        <f>IF(#REF!&lt;17,0,IF(#REF!&lt;26,#REF!-16,9))</f>
        <v>#REF!</v>
      </c>
      <c r="D70" s="13">
        <v>0</v>
      </c>
      <c r="E70" s="1" t="e">
        <f>C70*D70</f>
        <v>#REF!</v>
      </c>
      <c r="F70" s="72"/>
      <c r="G70" s="1"/>
    </row>
    <row r="71" spans="1:7" x14ac:dyDescent="0.2">
      <c r="A71" s="1"/>
      <c r="B71" s="60" t="s">
        <v>40</v>
      </c>
      <c r="C71" s="3" t="e">
        <f>IF(#REF!&lt;26,0,IF(#REF!&lt;51,#REF!-25,25))</f>
        <v>#REF!</v>
      </c>
      <c r="D71" s="12">
        <v>0</v>
      </c>
      <c r="E71" s="3" t="e">
        <f>C71*D71</f>
        <v>#REF!</v>
      </c>
      <c r="F71" s="72"/>
      <c r="G71" s="1"/>
    </row>
    <row r="72" spans="1:7" x14ac:dyDescent="0.2">
      <c r="A72" s="1"/>
      <c r="B72" s="77"/>
      <c r="C72" s="30"/>
      <c r="D72" s="28"/>
      <c r="E72" s="30"/>
      <c r="F72" s="70" t="e">
        <f>SUM(E69:E71)</f>
        <v>#REF!</v>
      </c>
      <c r="G72" s="1"/>
    </row>
    <row r="73" spans="1:7" x14ac:dyDescent="0.2">
      <c r="A73" s="1"/>
      <c r="B73" s="63" t="s">
        <v>10</v>
      </c>
      <c r="C73" s="34"/>
      <c r="D73" s="35"/>
      <c r="E73" s="34"/>
      <c r="F73" s="54"/>
      <c r="G73" s="1"/>
    </row>
    <row r="74" spans="1:7" x14ac:dyDescent="0.2">
      <c r="A74" s="1"/>
      <c r="B74" s="75" t="s">
        <v>94</v>
      </c>
      <c r="C74" s="1" t="e">
        <f>IF(AND(#REF!&lt;35,#REF!&lt;6),#REF!,IF(AND(#REF!&lt;35,#REF!&gt;5),0,IF(AND(#REF!&gt;35,#REF!&gt;5),0,35)))</f>
        <v>#REF!</v>
      </c>
      <c r="D74" s="13">
        <v>250</v>
      </c>
      <c r="E74" s="1" t="e">
        <f>C74*D74</f>
        <v>#REF!</v>
      </c>
      <c r="F74" s="56"/>
      <c r="G74" s="1"/>
    </row>
    <row r="75" spans="1:7" x14ac:dyDescent="0.2">
      <c r="A75" s="1"/>
      <c r="B75" s="75" t="s">
        <v>95</v>
      </c>
      <c r="C75" s="1" t="e">
        <f>IF(AND(#REF!&lt;35,#REF!&gt;5),#REF!,IF(AND(#REF!&lt;35,#REF!&lt;6),0,IF(AND(#REF!&gt;5,#REF!&gt;35),35,0)))</f>
        <v>#REF!</v>
      </c>
      <c r="D75" s="13">
        <v>250</v>
      </c>
      <c r="E75" s="1" t="e">
        <f>C75*D75</f>
        <v>#REF!</v>
      </c>
      <c r="F75" s="56"/>
      <c r="G75" s="1"/>
    </row>
    <row r="76" spans="1:7" x14ac:dyDescent="0.2">
      <c r="A76" s="1"/>
      <c r="B76" s="59" t="s">
        <v>98</v>
      </c>
      <c r="C76" s="1" t="e">
        <f>IF(#REF!&lt;36,0,IF(#REF!&lt;70,#REF!-35,35))</f>
        <v>#REF!</v>
      </c>
      <c r="D76" s="13">
        <v>-594</v>
      </c>
      <c r="E76" s="1" t="e">
        <f>C76*D76</f>
        <v>#REF!</v>
      </c>
      <c r="F76" s="72"/>
      <c r="G76" s="1"/>
    </row>
    <row r="77" spans="1:7" x14ac:dyDescent="0.2">
      <c r="A77" s="1"/>
      <c r="B77" s="60" t="s">
        <v>99</v>
      </c>
      <c r="C77" s="3" t="e">
        <f>IF(#REF!&lt;70,0,IF(#REF!&gt;70,#REF!-70,0))</f>
        <v>#REF!</v>
      </c>
      <c r="D77" s="12">
        <v>0</v>
      </c>
      <c r="E77" s="3" t="e">
        <f>C77*D77</f>
        <v>#REF!</v>
      </c>
      <c r="F77" s="58"/>
      <c r="G77" s="1"/>
    </row>
    <row r="78" spans="1:7" x14ac:dyDescent="0.2">
      <c r="A78" s="1"/>
      <c r="B78" s="59"/>
      <c r="C78" s="1"/>
      <c r="D78" s="13"/>
      <c r="E78" s="1"/>
      <c r="F78" s="64" t="e">
        <f>SUM(E74:E77)</f>
        <v>#REF!</v>
      </c>
      <c r="G78" s="1"/>
    </row>
    <row r="79" spans="1:7" x14ac:dyDescent="0.2">
      <c r="A79" s="1"/>
      <c r="B79" s="59" t="s">
        <v>124</v>
      </c>
      <c r="C79" s="1">
        <v>0</v>
      </c>
      <c r="D79" s="13"/>
      <c r="E79" s="1"/>
      <c r="F79" s="64">
        <f>C79</f>
        <v>0</v>
      </c>
      <c r="G79" s="1"/>
    </row>
    <row r="80" spans="1:7" x14ac:dyDescent="0.2">
      <c r="A80" s="1"/>
      <c r="B80" s="60"/>
      <c r="C80" s="3"/>
      <c r="D80" s="12"/>
      <c r="E80" s="3"/>
      <c r="F80" s="58"/>
      <c r="G80" s="1"/>
    </row>
    <row r="81" spans="1:7" x14ac:dyDescent="0.2">
      <c r="A81" s="1"/>
      <c r="B81" s="33"/>
      <c r="C81" s="34"/>
      <c r="D81" s="35"/>
      <c r="E81" s="34"/>
      <c r="F81" s="34"/>
      <c r="G81" s="1"/>
    </row>
    <row r="82" spans="1:7" x14ac:dyDescent="0.2">
      <c r="A82" s="1"/>
      <c r="B82" s="63"/>
      <c r="C82" s="34"/>
      <c r="D82" s="35"/>
      <c r="E82" s="34"/>
      <c r="F82" s="82"/>
      <c r="G82" s="1"/>
    </row>
    <row r="83" spans="1:7" x14ac:dyDescent="0.2">
      <c r="A83" s="1"/>
      <c r="B83" s="55" t="s">
        <v>125</v>
      </c>
      <c r="C83" s="1"/>
      <c r="D83" s="13"/>
      <c r="E83" s="1"/>
      <c r="F83" s="64" t="e">
        <f>F46+F50+F54+F60+F63+F72+F78+F79</f>
        <v>#REF!</v>
      </c>
      <c r="G83" s="1"/>
    </row>
    <row r="84" spans="1:7" x14ac:dyDescent="0.2">
      <c r="A84" s="1"/>
      <c r="B84" s="60"/>
      <c r="C84" s="7"/>
      <c r="D84" s="12"/>
      <c r="E84" s="7"/>
      <c r="F84" s="61"/>
      <c r="G84" s="1"/>
    </row>
    <row r="85" spans="1:7" x14ac:dyDescent="0.2">
      <c r="A85" s="1"/>
      <c r="G85" s="1"/>
    </row>
    <row r="87" spans="1:7" x14ac:dyDescent="0.2">
      <c r="B87" s="63" t="s">
        <v>26</v>
      </c>
      <c r="C87" s="40"/>
      <c r="D87" s="40"/>
      <c r="E87" s="40"/>
      <c r="F87" s="40"/>
      <c r="G87" s="71"/>
    </row>
    <row r="88" spans="1:7" x14ac:dyDescent="0.2">
      <c r="B88" s="57" t="s">
        <v>4</v>
      </c>
      <c r="C88" s="6" t="s">
        <v>27</v>
      </c>
      <c r="D88" s="6" t="s">
        <v>28</v>
      </c>
      <c r="E88" s="4" t="s">
        <v>29</v>
      </c>
      <c r="F88" s="4" t="s">
        <v>30</v>
      </c>
      <c r="G88" s="58" t="s">
        <v>31</v>
      </c>
    </row>
    <row r="89" spans="1:7" x14ac:dyDescent="0.2">
      <c r="B89" s="52" t="s">
        <v>39</v>
      </c>
      <c r="C89" s="38">
        <v>3120</v>
      </c>
      <c r="D89" s="39">
        <f>C89+D43</f>
        <v>3120</v>
      </c>
      <c r="E89" s="40" t="e">
        <f>C43</f>
        <v>#REF!</v>
      </c>
      <c r="F89" s="40" t="e">
        <f>C89*E89</f>
        <v>#REF!</v>
      </c>
      <c r="G89" s="71" t="e">
        <f>D89*E89</f>
        <v>#REF!</v>
      </c>
    </row>
    <row r="90" spans="1:7" x14ac:dyDescent="0.2">
      <c r="B90" s="59" t="s">
        <v>24</v>
      </c>
      <c r="C90" s="41">
        <v>1584</v>
      </c>
      <c r="D90" s="5">
        <f>C90+D44</f>
        <v>1584</v>
      </c>
      <c r="E90" t="e">
        <f>C44</f>
        <v>#REF!</v>
      </c>
      <c r="F90" t="e">
        <f t="shared" ref="F90:F102" si="1">C90*E90</f>
        <v>#REF!</v>
      </c>
      <c r="G90" s="72" t="e">
        <f t="shared" ref="G90:G102" si="2">D90*E90</f>
        <v>#REF!</v>
      </c>
    </row>
    <row r="91" spans="1:7" x14ac:dyDescent="0.2">
      <c r="B91" s="60" t="s">
        <v>40</v>
      </c>
      <c r="C91" s="42">
        <v>396</v>
      </c>
      <c r="D91" s="25">
        <f>C91+D45</f>
        <v>396</v>
      </c>
      <c r="E91" s="7" t="e">
        <f>C45</f>
        <v>#REF!</v>
      </c>
      <c r="F91" s="7" t="e">
        <f t="shared" si="1"/>
        <v>#REF!</v>
      </c>
      <c r="G91" s="61" t="e">
        <f t="shared" si="2"/>
        <v>#REF!</v>
      </c>
    </row>
    <row r="92" spans="1:7" x14ac:dyDescent="0.2">
      <c r="B92" s="59"/>
      <c r="C92" s="41"/>
      <c r="D92" s="5"/>
      <c r="G92" s="72"/>
    </row>
    <row r="93" spans="1:7" x14ac:dyDescent="0.2">
      <c r="B93" s="63" t="s">
        <v>6</v>
      </c>
      <c r="C93" s="38"/>
      <c r="D93" s="39"/>
      <c r="E93" s="40"/>
      <c r="F93" s="40"/>
      <c r="G93" s="71"/>
    </row>
    <row r="94" spans="1:7" x14ac:dyDescent="0.2">
      <c r="B94" s="59" t="s">
        <v>92</v>
      </c>
      <c r="C94" s="41">
        <v>787</v>
      </c>
      <c r="D94" s="5">
        <f>C94+D48</f>
        <v>787</v>
      </c>
      <c r="E94" t="e">
        <f>C48</f>
        <v>#REF!</v>
      </c>
      <c r="F94" t="e">
        <f t="shared" si="1"/>
        <v>#REF!</v>
      </c>
      <c r="G94" s="72" t="e">
        <f t="shared" si="2"/>
        <v>#REF!</v>
      </c>
    </row>
    <row r="95" spans="1:7" x14ac:dyDescent="0.2">
      <c r="B95" s="60" t="s">
        <v>104</v>
      </c>
      <c r="C95" s="42">
        <v>787</v>
      </c>
      <c r="D95" s="5">
        <f>C95+D49</f>
        <v>787</v>
      </c>
      <c r="E95" t="e">
        <f>C49</f>
        <v>#REF!</v>
      </c>
      <c r="F95" t="e">
        <f>C95*E95</f>
        <v>#REF!</v>
      </c>
      <c r="G95" s="72" t="e">
        <f>D95*E95</f>
        <v>#REF!</v>
      </c>
    </row>
    <row r="96" spans="1:7" x14ac:dyDescent="0.2">
      <c r="B96" s="59"/>
      <c r="C96" s="41"/>
      <c r="D96" s="5"/>
      <c r="G96" s="72"/>
    </row>
    <row r="97" spans="2:7" x14ac:dyDescent="0.2">
      <c r="B97" s="63" t="s">
        <v>7</v>
      </c>
      <c r="C97" s="38"/>
      <c r="D97" s="39"/>
      <c r="E97" s="40"/>
      <c r="F97" s="40"/>
      <c r="G97" s="71"/>
    </row>
    <row r="98" spans="2:7" x14ac:dyDescent="0.2">
      <c r="B98" s="59" t="s">
        <v>41</v>
      </c>
      <c r="C98" s="41">
        <v>900</v>
      </c>
      <c r="D98" s="5">
        <f>C98+D52</f>
        <v>900</v>
      </c>
      <c r="E98" t="e">
        <f>C52</f>
        <v>#REF!</v>
      </c>
      <c r="F98" t="e">
        <f t="shared" si="1"/>
        <v>#REF!</v>
      </c>
      <c r="G98" s="72" t="e">
        <f t="shared" si="2"/>
        <v>#REF!</v>
      </c>
    </row>
    <row r="99" spans="2:7" x14ac:dyDescent="0.2">
      <c r="B99" s="60" t="s">
        <v>42</v>
      </c>
      <c r="C99" s="42">
        <v>412</v>
      </c>
      <c r="D99" s="25">
        <f>C99+D53</f>
        <v>412</v>
      </c>
      <c r="E99" s="7" t="e">
        <f>C53</f>
        <v>#REF!</v>
      </c>
      <c r="F99" s="7" t="e">
        <f t="shared" si="1"/>
        <v>#REF!</v>
      </c>
      <c r="G99" s="61" t="e">
        <f t="shared" si="2"/>
        <v>#REF!</v>
      </c>
    </row>
    <row r="100" spans="2:7" x14ac:dyDescent="0.2">
      <c r="B100" s="59"/>
      <c r="C100" s="41"/>
      <c r="D100" s="5"/>
      <c r="G100" s="72"/>
    </row>
    <row r="101" spans="2:7" x14ac:dyDescent="0.2">
      <c r="B101" s="63" t="s">
        <v>117</v>
      </c>
      <c r="C101" s="38"/>
      <c r="D101" s="39"/>
      <c r="E101" s="40"/>
      <c r="F101" s="40"/>
      <c r="G101" s="71"/>
    </row>
    <row r="102" spans="2:7" x14ac:dyDescent="0.2">
      <c r="B102" s="59" t="s">
        <v>118</v>
      </c>
      <c r="C102" s="13">
        <v>137</v>
      </c>
      <c r="D102" s="5">
        <f>C102</f>
        <v>137</v>
      </c>
      <c r="E102" t="e">
        <f>#REF!</f>
        <v>#REF!</v>
      </c>
      <c r="F102" t="e">
        <f t="shared" si="1"/>
        <v>#REF!</v>
      </c>
      <c r="G102" s="72" t="e">
        <f t="shared" si="2"/>
        <v>#REF!</v>
      </c>
    </row>
    <row r="103" spans="2:7" x14ac:dyDescent="0.2">
      <c r="B103" s="59" t="s">
        <v>147</v>
      </c>
      <c r="C103" s="13">
        <v>63</v>
      </c>
      <c r="D103" s="5">
        <f>C103</f>
        <v>63</v>
      </c>
      <c r="E103" t="e">
        <f>#REF!</f>
        <v>#REF!</v>
      </c>
      <c r="F103" t="e">
        <f>C103*E103</f>
        <v>#REF!</v>
      </c>
      <c r="G103" s="72" t="e">
        <f>D103*E103</f>
        <v>#REF!</v>
      </c>
    </row>
    <row r="104" spans="2:7" x14ac:dyDescent="0.2">
      <c r="B104" s="59" t="s">
        <v>146</v>
      </c>
      <c r="C104" s="13">
        <v>63</v>
      </c>
      <c r="D104" s="5">
        <v>0</v>
      </c>
      <c r="E104" t="e">
        <f>#REF!</f>
        <v>#REF!</v>
      </c>
      <c r="F104" t="e">
        <f>C104*E104</f>
        <v>#REF!</v>
      </c>
      <c r="G104" s="72" t="e">
        <f>D104*E104</f>
        <v>#REF!</v>
      </c>
    </row>
    <row r="105" spans="2:7" x14ac:dyDescent="0.2">
      <c r="B105" s="59" t="s">
        <v>119</v>
      </c>
      <c r="C105" s="13">
        <v>0</v>
      </c>
      <c r="D105" s="5">
        <v>0</v>
      </c>
      <c r="E105" t="e">
        <f>#REF!</f>
        <v>#REF!</v>
      </c>
      <c r="F105" t="e">
        <f>C105*E105</f>
        <v>#REF!</v>
      </c>
      <c r="G105" s="72" t="e">
        <f>D105*E105</f>
        <v>#REF!</v>
      </c>
    </row>
    <row r="106" spans="2:7" x14ac:dyDescent="0.2">
      <c r="B106" s="60" t="s">
        <v>120</v>
      </c>
      <c r="C106" s="12">
        <v>0</v>
      </c>
      <c r="D106" s="25"/>
      <c r="E106" s="7"/>
      <c r="F106" s="7"/>
      <c r="G106" s="61"/>
    </row>
    <row r="107" spans="2:7" x14ac:dyDescent="0.2">
      <c r="B107" s="59"/>
      <c r="C107" s="13"/>
      <c r="D107" s="5"/>
      <c r="G107" s="72"/>
    </row>
    <row r="108" spans="2:7" x14ac:dyDescent="0.2">
      <c r="B108" s="63" t="s">
        <v>96</v>
      </c>
      <c r="C108" s="35"/>
      <c r="D108" s="39"/>
      <c r="E108" s="40"/>
      <c r="F108" s="40"/>
      <c r="G108" s="71"/>
    </row>
    <row r="109" spans="2:7" x14ac:dyDescent="0.2">
      <c r="B109" s="59" t="s">
        <v>62</v>
      </c>
      <c r="C109" s="13">
        <v>624</v>
      </c>
      <c r="D109" s="5">
        <f>C109+D56</f>
        <v>664</v>
      </c>
      <c r="E109" t="e">
        <f>C56</f>
        <v>#REF!</v>
      </c>
      <c r="F109" t="e">
        <f>C109*E109</f>
        <v>#REF!</v>
      </c>
      <c r="G109" s="72" t="e">
        <f>D109*E109</f>
        <v>#REF!</v>
      </c>
    </row>
    <row r="110" spans="2:7" x14ac:dyDescent="0.2">
      <c r="B110" s="59" t="s">
        <v>143</v>
      </c>
      <c r="C110" s="13">
        <v>113</v>
      </c>
      <c r="D110" s="5">
        <f>C110+D57</f>
        <v>360</v>
      </c>
      <c r="E110" t="e">
        <f>C57</f>
        <v>#REF!</v>
      </c>
      <c r="F110" t="e">
        <f>C110*E110</f>
        <v>#REF!</v>
      </c>
      <c r="G110" s="72" t="e">
        <f>D110*E110</f>
        <v>#REF!</v>
      </c>
    </row>
    <row r="111" spans="2:7" x14ac:dyDescent="0.2">
      <c r="B111" s="59" t="s">
        <v>144</v>
      </c>
      <c r="C111" s="13">
        <v>113</v>
      </c>
      <c r="D111" s="5">
        <f>C111+D58</f>
        <v>113</v>
      </c>
      <c r="E111" t="e">
        <f>C58</f>
        <v>#REF!</v>
      </c>
      <c r="F111" t="e">
        <f>C111*E111</f>
        <v>#REF!</v>
      </c>
      <c r="G111" s="72" t="e">
        <f>D111*E111</f>
        <v>#REF!</v>
      </c>
    </row>
    <row r="112" spans="2:7" x14ac:dyDescent="0.2">
      <c r="B112" s="60" t="s">
        <v>97</v>
      </c>
      <c r="C112" s="12">
        <v>0</v>
      </c>
      <c r="D112" s="5">
        <f>C112+D59</f>
        <v>113</v>
      </c>
      <c r="E112" t="e">
        <f>C59</f>
        <v>#REF!</v>
      </c>
      <c r="F112" s="7" t="e">
        <f>C112*E112</f>
        <v>#REF!</v>
      </c>
      <c r="G112" s="61" t="e">
        <f>D112*E112</f>
        <v>#REF!</v>
      </c>
    </row>
    <row r="113" spans="2:7" x14ac:dyDescent="0.2">
      <c r="B113" s="59"/>
      <c r="C113" s="13"/>
      <c r="D113" s="5"/>
      <c r="G113" s="72"/>
    </row>
    <row r="114" spans="2:7" x14ac:dyDescent="0.2">
      <c r="B114" s="63" t="s">
        <v>9</v>
      </c>
      <c r="C114" s="35"/>
      <c r="D114" s="39"/>
      <c r="E114" s="40"/>
      <c r="F114" s="40"/>
      <c r="G114" s="71"/>
    </row>
    <row r="115" spans="2:7" x14ac:dyDescent="0.2">
      <c r="B115" s="75" t="s">
        <v>39</v>
      </c>
      <c r="C115" s="13">
        <v>3120</v>
      </c>
      <c r="D115" s="16">
        <f>C115+D69</f>
        <v>3120</v>
      </c>
      <c r="E115" t="e">
        <f>C69</f>
        <v>#REF!</v>
      </c>
      <c r="F115" t="e">
        <f>C115*E115</f>
        <v>#REF!</v>
      </c>
      <c r="G115" s="72" t="e">
        <f>D115*E115</f>
        <v>#REF!</v>
      </c>
    </row>
    <row r="116" spans="2:7" x14ac:dyDescent="0.2">
      <c r="B116" s="59" t="s">
        <v>24</v>
      </c>
      <c r="C116" s="13">
        <v>1584</v>
      </c>
      <c r="D116" s="16">
        <f>C116+D70</f>
        <v>1584</v>
      </c>
      <c r="E116" t="e">
        <f>C70</f>
        <v>#REF!</v>
      </c>
      <c r="F116" t="e">
        <f>C116*E116</f>
        <v>#REF!</v>
      </c>
      <c r="G116" s="72" t="e">
        <f>D116*E116</f>
        <v>#REF!</v>
      </c>
    </row>
    <row r="117" spans="2:7" x14ac:dyDescent="0.2">
      <c r="B117" s="60" t="s">
        <v>40</v>
      </c>
      <c r="C117" s="12">
        <v>396</v>
      </c>
      <c r="D117" s="43">
        <f>C117+D71</f>
        <v>396</v>
      </c>
      <c r="E117" s="7" t="e">
        <f>C71</f>
        <v>#REF!</v>
      </c>
      <c r="F117" s="7" t="e">
        <f>C117*E117</f>
        <v>#REF!</v>
      </c>
      <c r="G117" s="61" t="e">
        <f>D117*E117</f>
        <v>#REF!</v>
      </c>
    </row>
    <row r="118" spans="2:7" x14ac:dyDescent="0.2">
      <c r="B118" s="59"/>
      <c r="C118" s="13"/>
      <c r="D118" s="16"/>
      <c r="G118" s="72"/>
    </row>
    <row r="119" spans="2:7" x14ac:dyDescent="0.2">
      <c r="B119" s="63" t="s">
        <v>10</v>
      </c>
      <c r="C119" s="35"/>
      <c r="D119" s="39"/>
      <c r="E119" s="40"/>
      <c r="F119" s="40"/>
      <c r="G119" s="71"/>
    </row>
    <row r="120" spans="2:7" x14ac:dyDescent="0.2">
      <c r="B120" s="75" t="s">
        <v>94</v>
      </c>
      <c r="C120" s="13">
        <v>594</v>
      </c>
      <c r="D120" s="5">
        <f>C120+D74</f>
        <v>844</v>
      </c>
      <c r="E120" t="e">
        <f>C74</f>
        <v>#REF!</v>
      </c>
      <c r="F120" t="e">
        <f>C120*E120</f>
        <v>#REF!</v>
      </c>
      <c r="G120" s="72" t="e">
        <f>D120*E120</f>
        <v>#REF!</v>
      </c>
    </row>
    <row r="121" spans="2:7" x14ac:dyDescent="0.2">
      <c r="B121" s="75" t="s">
        <v>95</v>
      </c>
      <c r="C121" s="13">
        <v>881</v>
      </c>
      <c r="D121" s="5">
        <f>C121+D75</f>
        <v>1131</v>
      </c>
      <c r="E121" t="e">
        <f>C75</f>
        <v>#REF!</v>
      </c>
      <c r="F121" t="e">
        <f>C121*E121</f>
        <v>#REF!</v>
      </c>
      <c r="G121" s="72" t="e">
        <f>D121*E121</f>
        <v>#REF!</v>
      </c>
    </row>
    <row r="122" spans="2:7" x14ac:dyDescent="0.2">
      <c r="B122" s="59" t="s">
        <v>98</v>
      </c>
      <c r="C122" s="13">
        <v>594</v>
      </c>
      <c r="D122" s="5">
        <f>C122+D76</f>
        <v>0</v>
      </c>
      <c r="E122" t="e">
        <f>C76</f>
        <v>#REF!</v>
      </c>
      <c r="F122" t="e">
        <f>C122*E122</f>
        <v>#REF!</v>
      </c>
      <c r="G122" s="72" t="e">
        <f>D122*E122</f>
        <v>#REF!</v>
      </c>
    </row>
    <row r="123" spans="2:7" x14ac:dyDescent="0.2">
      <c r="B123" s="60" t="s">
        <v>99</v>
      </c>
      <c r="C123" s="12">
        <v>0</v>
      </c>
      <c r="D123" s="25"/>
      <c r="E123" s="7"/>
      <c r="F123" s="7"/>
      <c r="G123" s="61"/>
    </row>
    <row r="124" spans="2:7" x14ac:dyDescent="0.2">
      <c r="B124" s="59"/>
      <c r="C124" s="13"/>
      <c r="D124" s="5"/>
      <c r="G124" s="72"/>
    </row>
    <row r="125" spans="2:7" x14ac:dyDescent="0.2">
      <c r="B125" s="63" t="s">
        <v>11</v>
      </c>
      <c r="C125" s="35"/>
      <c r="D125" s="39"/>
      <c r="E125" s="40"/>
      <c r="F125" s="40"/>
      <c r="G125" s="71"/>
    </row>
    <row r="126" spans="2:7" x14ac:dyDescent="0.2">
      <c r="B126" s="75" t="s">
        <v>53</v>
      </c>
      <c r="C126" s="13">
        <v>28</v>
      </c>
      <c r="D126" s="5">
        <f>C126</f>
        <v>28</v>
      </c>
      <c r="E126" t="e">
        <f>IF(#REF!&lt;1400,#REF!,1400)</f>
        <v>#REF!</v>
      </c>
      <c r="F126" t="e">
        <f>C126*E126</f>
        <v>#REF!</v>
      </c>
      <c r="G126" s="72" t="e">
        <f>D126*E126</f>
        <v>#REF!</v>
      </c>
    </row>
    <row r="127" spans="2:7" x14ac:dyDescent="0.2">
      <c r="B127" s="59" t="s">
        <v>105</v>
      </c>
      <c r="C127" s="13">
        <v>0</v>
      </c>
      <c r="D127" s="5">
        <f>C127</f>
        <v>0</v>
      </c>
      <c r="F127">
        <f>C127*E127</f>
        <v>0</v>
      </c>
      <c r="G127" s="72">
        <f>D127*E127</f>
        <v>0</v>
      </c>
    </row>
    <row r="128" spans="2:7" x14ac:dyDescent="0.2">
      <c r="B128" s="83" t="s">
        <v>106</v>
      </c>
      <c r="C128" s="12">
        <v>0</v>
      </c>
      <c r="D128" s="25">
        <f>C128</f>
        <v>0</v>
      </c>
      <c r="E128" s="7"/>
      <c r="F128" s="7">
        <f>C128*E128</f>
        <v>0</v>
      </c>
      <c r="G128" s="61">
        <f>D128*E128</f>
        <v>0</v>
      </c>
    </row>
    <row r="129" spans="2:10" x14ac:dyDescent="0.2">
      <c r="B129" s="75"/>
      <c r="C129" s="13"/>
      <c r="D129" s="5"/>
      <c r="G129" s="72"/>
    </row>
    <row r="130" spans="2:10" x14ac:dyDescent="0.2">
      <c r="B130" s="63" t="s">
        <v>12</v>
      </c>
      <c r="C130" s="35"/>
      <c r="D130" s="39"/>
      <c r="E130" s="40"/>
      <c r="F130" s="40"/>
      <c r="G130" s="71"/>
    </row>
    <row r="131" spans="2:10" x14ac:dyDescent="0.2">
      <c r="B131" s="59" t="s">
        <v>100</v>
      </c>
      <c r="C131" s="13">
        <v>12</v>
      </c>
      <c r="D131" s="5">
        <f>C131+D62</f>
        <v>12</v>
      </c>
      <c r="E131" t="e">
        <f>IF(#REF!&lt;5,C62,0)</f>
        <v>#REF!</v>
      </c>
      <c r="F131" t="e">
        <f>C131*E131</f>
        <v>#REF!</v>
      </c>
      <c r="G131" s="72" t="e">
        <f>D131*E131</f>
        <v>#REF!</v>
      </c>
    </row>
    <row r="132" spans="2:10" x14ac:dyDescent="0.2">
      <c r="B132" s="59" t="s">
        <v>101</v>
      </c>
      <c r="C132" s="13">
        <v>26</v>
      </c>
      <c r="D132" s="5">
        <f>C132+D62</f>
        <v>26</v>
      </c>
      <c r="E132" t="e">
        <f>IF(#REF!&gt;5,C62,0)</f>
        <v>#REF!</v>
      </c>
      <c r="F132" t="e">
        <f>C132*E132</f>
        <v>#REF!</v>
      </c>
      <c r="G132" s="72" t="e">
        <f>D132*E132</f>
        <v>#REF!</v>
      </c>
    </row>
    <row r="133" spans="2:10" x14ac:dyDescent="0.2">
      <c r="B133" s="59" t="s">
        <v>102</v>
      </c>
      <c r="C133" s="13">
        <v>12</v>
      </c>
      <c r="D133" s="5">
        <f>C133</f>
        <v>12</v>
      </c>
      <c r="E133" t="e">
        <f>IF(#REF!&lt;5000,#REF!-1000,4000)</f>
        <v>#REF!</v>
      </c>
      <c r="F133" t="e">
        <f>C133*E133</f>
        <v>#REF!</v>
      </c>
      <c r="G133" s="72" t="e">
        <f>D133*E133</f>
        <v>#REF!</v>
      </c>
    </row>
    <row r="134" spans="2:10" x14ac:dyDescent="0.2">
      <c r="B134" s="59" t="s">
        <v>103</v>
      </c>
      <c r="C134" s="13">
        <v>0</v>
      </c>
      <c r="D134" s="5">
        <f>C134</f>
        <v>0</v>
      </c>
      <c r="E134" s="13">
        <v>0</v>
      </c>
      <c r="F134">
        <f>C134*E134</f>
        <v>0</v>
      </c>
      <c r="G134" s="72">
        <f>D134*E134</f>
        <v>0</v>
      </c>
    </row>
    <row r="135" spans="2:10" x14ac:dyDescent="0.2">
      <c r="B135" s="60" t="s">
        <v>107</v>
      </c>
      <c r="C135" s="12">
        <v>0</v>
      </c>
      <c r="D135" s="25">
        <f>C135</f>
        <v>0</v>
      </c>
      <c r="E135" s="12">
        <v>0</v>
      </c>
      <c r="F135" s="7">
        <f>C135*E135</f>
        <v>0</v>
      </c>
      <c r="G135" s="61">
        <f>D135*E135</f>
        <v>0</v>
      </c>
    </row>
    <row r="136" spans="2:10" x14ac:dyDescent="0.2">
      <c r="B136" s="55"/>
      <c r="C136" s="13"/>
      <c r="D136" s="5"/>
      <c r="G136" s="72"/>
    </row>
    <row r="137" spans="2:10" x14ac:dyDescent="0.2">
      <c r="B137" s="59"/>
      <c r="C137" s="13"/>
      <c r="D137" s="5"/>
      <c r="G137" s="72"/>
    </row>
    <row r="138" spans="2:10" x14ac:dyDescent="0.2">
      <c r="B138" s="84" t="s">
        <v>108</v>
      </c>
      <c r="C138" s="44">
        <v>1000</v>
      </c>
      <c r="D138" s="45">
        <f>C138+D82</f>
        <v>1000</v>
      </c>
      <c r="E138" s="44">
        <v>0</v>
      </c>
      <c r="F138" s="46">
        <f>C138*E138</f>
        <v>0</v>
      </c>
      <c r="G138" s="85">
        <f>D138*E138</f>
        <v>0</v>
      </c>
    </row>
    <row r="139" spans="2:10" x14ac:dyDescent="0.2">
      <c r="B139" s="55"/>
      <c r="F139" s="9" t="e">
        <f>SUM(F89:F138)</f>
        <v>#REF!</v>
      </c>
      <c r="G139" s="86" t="e">
        <f>SUM(G89:G138)</f>
        <v>#REF!</v>
      </c>
    </row>
    <row r="140" spans="2:10" x14ac:dyDescent="0.2">
      <c r="B140" s="60" t="s">
        <v>32</v>
      </c>
      <c r="C140" s="87">
        <v>200000</v>
      </c>
      <c r="D140" s="87">
        <v>220000</v>
      </c>
      <c r="E140" s="7"/>
      <c r="F140" s="7" t="s">
        <v>33</v>
      </c>
      <c r="G140" s="61" t="s">
        <v>34</v>
      </c>
      <c r="H140" s="1" t="s">
        <v>32</v>
      </c>
      <c r="I140" s="10">
        <v>250000</v>
      </c>
      <c r="J140" s="10">
        <v>250000.00000999999</v>
      </c>
    </row>
    <row r="141" spans="2:10" x14ac:dyDescent="0.2">
      <c r="B141" s="1"/>
      <c r="H141" s="1" t="s">
        <v>58</v>
      </c>
    </row>
    <row r="142" spans="2:10" x14ac:dyDescent="0.2">
      <c r="B142" s="3"/>
      <c r="F142" s="9"/>
      <c r="G142" s="9"/>
      <c r="H142" s="3"/>
    </row>
    <row r="143" spans="2:10" x14ac:dyDescent="0.2">
      <c r="B143">
        <v>1</v>
      </c>
      <c r="C143" s="11" t="e">
        <f>IF(AND(F139&lt;$C$140,G139&lt;$D$140),0,0)</f>
        <v>#REF!</v>
      </c>
      <c r="H143">
        <v>1</v>
      </c>
      <c r="I143" s="11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27" t="e">
        <f>IF(AND(F139&gt;I140,G139&gt;J140),(J140-I140),0)</f>
        <v>#REF!</v>
      </c>
      <c r="J145" t="s">
        <v>36</v>
      </c>
    </row>
    <row r="146" spans="2:10" x14ac:dyDescent="0.2">
      <c r="B146" s="7">
        <v>4</v>
      </c>
      <c r="C146" s="7" t="e">
        <f>IF(AND(F139&gt;C140,G139&lt;D140),(G139-$C$140),0)</f>
        <v>#REF!</v>
      </c>
      <c r="D146" t="s">
        <v>37</v>
      </c>
      <c r="H146" s="7">
        <v>4</v>
      </c>
      <c r="I146" s="7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17" t="e">
        <f>SUM(I143:I146)</f>
        <v>#REF!</v>
      </c>
    </row>
    <row r="148" spans="2:10" x14ac:dyDescent="0.2">
      <c r="B148" s="14"/>
    </row>
    <row r="149" spans="2:10" ht="14.25" x14ac:dyDescent="0.2">
      <c r="B149" s="24" t="s">
        <v>125</v>
      </c>
      <c r="D149" s="2" t="e">
        <f>F83</f>
        <v>#REF!</v>
      </c>
    </row>
    <row r="151" spans="2:10" x14ac:dyDescent="0.2">
      <c r="B151" s="63" t="s">
        <v>43</v>
      </c>
      <c r="C151" s="40"/>
      <c r="D151" s="40"/>
      <c r="E151" s="40"/>
      <c r="F151" s="33" t="s">
        <v>129</v>
      </c>
      <c r="G151" s="71"/>
    </row>
    <row r="152" spans="2:10" x14ac:dyDescent="0.2">
      <c r="B152" s="55" t="s">
        <v>4</v>
      </c>
      <c r="C152" s="9" t="s">
        <v>27</v>
      </c>
      <c r="D152" s="2" t="s">
        <v>134</v>
      </c>
      <c r="E152" s="2" t="s">
        <v>29</v>
      </c>
      <c r="F152" s="2" t="s">
        <v>30</v>
      </c>
      <c r="G152" s="64" t="s">
        <v>31</v>
      </c>
    </row>
    <row r="153" spans="2:10" x14ac:dyDescent="0.2">
      <c r="B153" s="52" t="s">
        <v>23</v>
      </c>
      <c r="C153" s="38">
        <v>2884</v>
      </c>
      <c r="D153" s="38">
        <f>C153*1.06</f>
        <v>3057.04</v>
      </c>
      <c r="E153" s="40" t="e">
        <f>B245</f>
        <v>#REF!</v>
      </c>
      <c r="F153" s="39" t="e">
        <f>C153*E153</f>
        <v>#REF!</v>
      </c>
      <c r="G153" s="88" t="e">
        <f>D153*E153</f>
        <v>#REF!</v>
      </c>
    </row>
    <row r="154" spans="2:10" x14ac:dyDescent="0.2">
      <c r="B154" s="59" t="s">
        <v>44</v>
      </c>
      <c r="C154" s="41">
        <v>1957</v>
      </c>
      <c r="D154" s="38">
        <f>C154*1.06</f>
        <v>2074.42</v>
      </c>
      <c r="E154" t="e">
        <f>B246</f>
        <v>#REF!</v>
      </c>
      <c r="F154" s="5" t="e">
        <f>C154*E154</f>
        <v>#REF!</v>
      </c>
      <c r="G154" s="89" t="e">
        <f>D154*E154</f>
        <v>#REF!</v>
      </c>
    </row>
    <row r="155" spans="2:10" x14ac:dyDescent="0.2">
      <c r="B155" s="59"/>
      <c r="C155" s="41"/>
      <c r="D155" s="41"/>
      <c r="F155" s="5"/>
      <c r="G155" s="89"/>
    </row>
    <row r="156" spans="2:10" x14ac:dyDescent="0.2">
      <c r="B156" s="55" t="s">
        <v>6</v>
      </c>
      <c r="C156" s="41"/>
      <c r="D156" s="41"/>
      <c r="F156" s="5"/>
      <c r="G156" s="89"/>
    </row>
    <row r="157" spans="2:10" x14ac:dyDescent="0.2">
      <c r="B157" s="59" t="s">
        <v>109</v>
      </c>
      <c r="C157" s="41">
        <v>417</v>
      </c>
      <c r="D157" s="38">
        <f>C157*1.06</f>
        <v>442.02000000000004</v>
      </c>
      <c r="E157" t="e">
        <f>B250</f>
        <v>#REF!</v>
      </c>
      <c r="F157" s="5" t="e">
        <f>C157*E157</f>
        <v>#REF!</v>
      </c>
      <c r="G157" s="89" t="e">
        <f>D157*E157</f>
        <v>#REF!</v>
      </c>
    </row>
    <row r="158" spans="2:10" x14ac:dyDescent="0.2">
      <c r="B158" s="59"/>
      <c r="C158" s="41"/>
      <c r="D158" s="41"/>
      <c r="F158" s="5"/>
      <c r="G158" s="89"/>
    </row>
    <row r="159" spans="2:10" x14ac:dyDescent="0.2">
      <c r="B159" s="55" t="s">
        <v>135</v>
      </c>
      <c r="C159" s="41"/>
      <c r="D159" s="41"/>
      <c r="F159" s="5"/>
      <c r="G159" s="89"/>
    </row>
    <row r="160" spans="2:10" x14ac:dyDescent="0.2">
      <c r="B160" s="59" t="s">
        <v>25</v>
      </c>
      <c r="C160" s="41">
        <v>685</v>
      </c>
      <c r="D160" s="38">
        <f>C160*1.06</f>
        <v>726.1</v>
      </c>
      <c r="E160" t="e">
        <f>B254</f>
        <v>#REF!</v>
      </c>
      <c r="F160" s="5" t="e">
        <f>C160*E160</f>
        <v>#REF!</v>
      </c>
      <c r="G160" s="89" t="e">
        <f>D160*E160</f>
        <v>#REF!</v>
      </c>
    </row>
    <row r="161" spans="2:7" x14ac:dyDescent="0.2">
      <c r="B161" s="59" t="s">
        <v>45</v>
      </c>
      <c r="C161" s="41">
        <v>458</v>
      </c>
      <c r="D161" s="38">
        <f>C161*1.06</f>
        <v>485.48</v>
      </c>
      <c r="E161" t="e">
        <f>B255</f>
        <v>#REF!</v>
      </c>
      <c r="F161" s="5" t="e">
        <f>C161*E161</f>
        <v>#REF!</v>
      </c>
      <c r="G161" s="89" t="e">
        <f>D161*E161</f>
        <v>#REF!</v>
      </c>
    </row>
    <row r="162" spans="2:7" x14ac:dyDescent="0.2">
      <c r="B162" s="59"/>
      <c r="C162" s="41"/>
      <c r="D162" s="41"/>
      <c r="F162" s="5"/>
      <c r="G162" s="89"/>
    </row>
    <row r="163" spans="2:7" x14ac:dyDescent="0.2">
      <c r="B163" s="55" t="s">
        <v>8</v>
      </c>
      <c r="C163" s="41"/>
      <c r="D163" s="41"/>
      <c r="F163" s="5"/>
      <c r="G163" s="89"/>
    </row>
    <row r="164" spans="2:7" x14ac:dyDescent="0.2">
      <c r="B164" s="59" t="s">
        <v>109</v>
      </c>
      <c r="C164" s="41">
        <v>363</v>
      </c>
      <c r="D164" s="38">
        <f>C164*1.06</f>
        <v>384.78000000000003</v>
      </c>
      <c r="E164" t="e">
        <f>B258</f>
        <v>#REF!</v>
      </c>
      <c r="F164" s="5" t="e">
        <f>C164*E164</f>
        <v>#REF!</v>
      </c>
      <c r="G164" s="89" t="e">
        <f>D164*E164</f>
        <v>#REF!</v>
      </c>
    </row>
    <row r="165" spans="2:7" x14ac:dyDescent="0.2">
      <c r="B165" s="59"/>
      <c r="C165" s="41"/>
      <c r="D165" s="41"/>
      <c r="F165" s="5"/>
      <c r="G165" s="89"/>
    </row>
    <row r="166" spans="2:7" x14ac:dyDescent="0.2">
      <c r="B166" s="55" t="s">
        <v>16</v>
      </c>
      <c r="C166" s="41"/>
      <c r="D166" s="41"/>
      <c r="F166" s="5"/>
      <c r="G166" s="89"/>
    </row>
    <row r="167" spans="2:7" x14ac:dyDescent="0.2">
      <c r="B167" s="75" t="s">
        <v>109</v>
      </c>
      <c r="C167" s="41">
        <v>534</v>
      </c>
      <c r="D167" s="38">
        <f>C167*1.06</f>
        <v>566.04000000000008</v>
      </c>
      <c r="E167" t="e">
        <f>B262</f>
        <v>#REF!</v>
      </c>
      <c r="F167" s="5" t="e">
        <f>C167*E167</f>
        <v>#REF!</v>
      </c>
      <c r="G167" s="89" t="e">
        <f>D167*E167</f>
        <v>#REF!</v>
      </c>
    </row>
    <row r="168" spans="2:7" x14ac:dyDescent="0.2">
      <c r="B168" s="59"/>
      <c r="C168" s="41"/>
      <c r="D168" s="41"/>
      <c r="F168" s="5"/>
      <c r="G168" s="89"/>
    </row>
    <row r="169" spans="2:7" x14ac:dyDescent="0.2">
      <c r="B169" s="55" t="s">
        <v>10</v>
      </c>
      <c r="C169" s="41"/>
      <c r="D169" s="41"/>
      <c r="F169" s="5"/>
      <c r="G169" s="89"/>
    </row>
    <row r="170" spans="2:7" x14ac:dyDescent="0.2">
      <c r="B170" s="75" t="s">
        <v>109</v>
      </c>
      <c r="C170" s="41">
        <v>824</v>
      </c>
      <c r="D170" s="38">
        <f>C170*1.06</f>
        <v>873.44</v>
      </c>
      <c r="E170" t="e">
        <f>B266</f>
        <v>#REF!</v>
      </c>
      <c r="F170" s="5" t="e">
        <f>C170*E170</f>
        <v>#REF!</v>
      </c>
      <c r="G170" s="89" t="e">
        <f>D170*E170</f>
        <v>#REF!</v>
      </c>
    </row>
    <row r="171" spans="2:7" x14ac:dyDescent="0.2">
      <c r="B171" s="59"/>
      <c r="C171" s="41"/>
      <c r="D171" s="41"/>
      <c r="F171" s="5"/>
      <c r="G171" s="89"/>
    </row>
    <row r="172" spans="2:7" x14ac:dyDescent="0.2">
      <c r="B172" s="55" t="s">
        <v>11</v>
      </c>
      <c r="C172" s="41"/>
      <c r="D172" s="41"/>
      <c r="F172" s="5"/>
      <c r="G172" s="89"/>
    </row>
    <row r="173" spans="2:7" x14ac:dyDescent="0.2">
      <c r="B173" s="75" t="s">
        <v>109</v>
      </c>
      <c r="C173" s="41">
        <v>29</v>
      </c>
      <c r="D173" s="38">
        <f>C173*1.06</f>
        <v>30.740000000000002</v>
      </c>
      <c r="E173" t="e">
        <f>B271</f>
        <v>#REF!</v>
      </c>
      <c r="F173" s="5" t="e">
        <f>C173*E173</f>
        <v>#REF!</v>
      </c>
      <c r="G173" s="89" t="e">
        <f>D173*E173</f>
        <v>#REF!</v>
      </c>
    </row>
    <row r="174" spans="2:7" x14ac:dyDescent="0.2">
      <c r="B174" s="59"/>
      <c r="C174" s="47"/>
      <c r="D174" s="41"/>
      <c r="F174" s="5"/>
      <c r="G174" s="89"/>
    </row>
    <row r="175" spans="2:7" x14ac:dyDescent="0.2">
      <c r="B175" s="55" t="s">
        <v>12</v>
      </c>
      <c r="C175" s="41"/>
      <c r="D175" s="41"/>
      <c r="F175" s="5"/>
      <c r="G175" s="89"/>
    </row>
    <row r="176" spans="2:7" x14ac:dyDescent="0.2">
      <c r="B176" s="59" t="s">
        <v>109</v>
      </c>
      <c r="C176" s="41">
        <v>7.2</v>
      </c>
      <c r="D176" s="97">
        <f>C176*1.06</f>
        <v>7.6320000000000006</v>
      </c>
      <c r="E176" t="e">
        <f>B275</f>
        <v>#REF!</v>
      </c>
      <c r="F176" s="5" t="e">
        <f>C176*E176</f>
        <v>#REF!</v>
      </c>
      <c r="G176" s="89" t="e">
        <f>D176*E176</f>
        <v>#REF!</v>
      </c>
    </row>
    <row r="177" spans="2:7" x14ac:dyDescent="0.2">
      <c r="B177" s="59"/>
      <c r="C177" s="41"/>
      <c r="D177" s="41"/>
      <c r="F177" s="5"/>
      <c r="G177" s="89"/>
    </row>
    <row r="178" spans="2:7" x14ac:dyDescent="0.2">
      <c r="B178" s="55" t="s">
        <v>110</v>
      </c>
      <c r="C178" s="41"/>
      <c r="D178" s="41"/>
      <c r="F178" s="5"/>
      <c r="G178" s="89"/>
    </row>
    <row r="179" spans="2:7" x14ac:dyDescent="0.2">
      <c r="B179" s="59" t="s">
        <v>109</v>
      </c>
      <c r="C179" s="41">
        <v>824</v>
      </c>
      <c r="D179" s="38">
        <f>C179*1.06</f>
        <v>873.44</v>
      </c>
      <c r="F179" s="5"/>
      <c r="G179" s="89"/>
    </row>
    <row r="180" spans="2:7" x14ac:dyDescent="0.2">
      <c r="B180" s="59"/>
      <c r="C180" s="47"/>
      <c r="D180" s="41"/>
      <c r="F180" s="5"/>
      <c r="G180" s="89"/>
    </row>
    <row r="181" spans="2:7" x14ac:dyDescent="0.2">
      <c r="B181" s="55" t="s">
        <v>111</v>
      </c>
      <c r="C181" s="47"/>
      <c r="D181" s="41"/>
      <c r="F181" s="5"/>
      <c r="G181" s="89"/>
    </row>
    <row r="182" spans="2:7" x14ac:dyDescent="0.2">
      <c r="B182" s="59" t="s">
        <v>109</v>
      </c>
      <c r="C182" s="41">
        <v>206</v>
      </c>
      <c r="D182" s="38">
        <f>C182*1.06</f>
        <v>218.36</v>
      </c>
      <c r="F182" s="5"/>
      <c r="G182" s="89"/>
    </row>
    <row r="183" spans="2:7" x14ac:dyDescent="0.2">
      <c r="B183" s="59"/>
      <c r="C183" s="47"/>
      <c r="D183" s="41"/>
      <c r="F183" s="5"/>
      <c r="G183" s="89"/>
    </row>
    <row r="184" spans="2:7" x14ac:dyDescent="0.2">
      <c r="B184" s="55" t="s">
        <v>112</v>
      </c>
      <c r="C184" s="47"/>
      <c r="D184" s="41"/>
      <c r="F184" s="5"/>
      <c r="G184" s="89"/>
    </row>
    <row r="185" spans="2:7" x14ac:dyDescent="0.2">
      <c r="B185" s="59" t="s">
        <v>109</v>
      </c>
      <c r="C185" s="48">
        <v>2.5</v>
      </c>
      <c r="D185" s="38">
        <f>C185*1.06</f>
        <v>2.6500000000000004</v>
      </c>
      <c r="F185" s="5"/>
      <c r="G185" s="89"/>
    </row>
    <row r="186" spans="2:7" x14ac:dyDescent="0.2">
      <c r="B186" s="59"/>
      <c r="C186" s="47"/>
      <c r="D186" s="41"/>
      <c r="F186" s="5"/>
      <c r="G186" s="89"/>
    </row>
    <row r="187" spans="2:7" x14ac:dyDescent="0.2">
      <c r="B187" s="55" t="s">
        <v>113</v>
      </c>
      <c r="C187" s="47"/>
      <c r="D187" s="41"/>
      <c r="F187" s="5"/>
      <c r="G187" s="89"/>
    </row>
    <row r="188" spans="2:7" x14ac:dyDescent="0.2">
      <c r="B188" s="59" t="s">
        <v>109</v>
      </c>
      <c r="C188" s="48">
        <v>0.7</v>
      </c>
      <c r="D188" s="38">
        <f>C188*1.06</f>
        <v>0.74199999999999999</v>
      </c>
      <c r="F188" s="5"/>
      <c r="G188" s="89"/>
    </row>
    <row r="189" spans="2:7" x14ac:dyDescent="0.2">
      <c r="B189" s="59"/>
      <c r="C189" s="47"/>
      <c r="D189" s="41"/>
      <c r="F189" s="5"/>
      <c r="G189" s="89"/>
    </row>
    <row r="190" spans="2:7" x14ac:dyDescent="0.2">
      <c r="B190" s="55" t="s">
        <v>114</v>
      </c>
      <c r="C190" s="47"/>
      <c r="D190" s="41"/>
      <c r="F190" s="5"/>
      <c r="G190" s="89"/>
    </row>
    <row r="191" spans="2:7" x14ac:dyDescent="0.2">
      <c r="B191" s="59" t="s">
        <v>109</v>
      </c>
      <c r="C191" s="47">
        <v>0.3</v>
      </c>
      <c r="D191" s="98">
        <f>C191*1.06</f>
        <v>0.318</v>
      </c>
      <c r="E191" t="e">
        <f>B279</f>
        <v>#REF!</v>
      </c>
      <c r="F191" s="5" t="e">
        <f>C191*E191</f>
        <v>#REF!</v>
      </c>
      <c r="G191" s="89" t="e">
        <f>D191*E191</f>
        <v>#REF!</v>
      </c>
    </row>
    <row r="192" spans="2:7" x14ac:dyDescent="0.2">
      <c r="B192" s="59"/>
      <c r="C192" s="47"/>
      <c r="D192" s="41"/>
      <c r="F192" s="5"/>
      <c r="G192" s="89"/>
    </row>
    <row r="193" spans="2:9" x14ac:dyDescent="0.2">
      <c r="B193" s="55" t="s">
        <v>115</v>
      </c>
      <c r="C193" s="47"/>
      <c r="D193" s="41"/>
      <c r="F193" s="5"/>
      <c r="G193" s="89"/>
    </row>
    <row r="194" spans="2:9" x14ac:dyDescent="0.2">
      <c r="B194" s="59" t="s">
        <v>109</v>
      </c>
      <c r="C194" s="41">
        <v>229</v>
      </c>
      <c r="D194" s="98">
        <f>C194*1.06</f>
        <v>242.74</v>
      </c>
      <c r="F194" s="5"/>
      <c r="G194" s="89"/>
    </row>
    <row r="195" spans="2:9" x14ac:dyDescent="0.2">
      <c r="B195" s="59"/>
      <c r="C195" s="41"/>
      <c r="D195" s="41"/>
      <c r="F195" s="5"/>
      <c r="G195" s="89"/>
    </row>
    <row r="196" spans="2:9" x14ac:dyDescent="0.2">
      <c r="B196" s="55" t="s">
        <v>116</v>
      </c>
      <c r="C196" s="41"/>
      <c r="D196" s="41"/>
      <c r="F196" s="5"/>
      <c r="G196" s="89"/>
    </row>
    <row r="197" spans="2:9" x14ac:dyDescent="0.2">
      <c r="B197" s="60" t="s">
        <v>109</v>
      </c>
      <c r="C197" s="42">
        <v>67</v>
      </c>
      <c r="D197" s="98">
        <f>C197*1.06</f>
        <v>71.02000000000001</v>
      </c>
      <c r="E197" s="7"/>
      <c r="F197" s="25"/>
      <c r="G197" s="90"/>
    </row>
    <row r="198" spans="2:9" x14ac:dyDescent="0.2">
      <c r="B198" s="74"/>
      <c r="C198" s="91"/>
      <c r="D198" s="13"/>
      <c r="G198" s="72"/>
    </row>
    <row r="199" spans="2:9" x14ac:dyDescent="0.2">
      <c r="B199" s="55"/>
      <c r="C199" s="91"/>
      <c r="D199" s="13"/>
      <c r="F199" s="92" t="e">
        <f>SUM(F153:F197)</f>
        <v>#REF!</v>
      </c>
      <c r="G199" s="93" t="e">
        <f>SUM(G153:G197)</f>
        <v>#REF!</v>
      </c>
      <c r="I199" s="5"/>
    </row>
    <row r="200" spans="2:9" x14ac:dyDescent="0.2">
      <c r="B200" s="57" t="s">
        <v>32</v>
      </c>
      <c r="C200" s="87">
        <v>51500</v>
      </c>
      <c r="D200" s="94">
        <v>55000</v>
      </c>
      <c r="E200" s="7"/>
      <c r="F200" s="7" t="s">
        <v>33</v>
      </c>
      <c r="G200" s="61" t="s">
        <v>34</v>
      </c>
    </row>
    <row r="201" spans="2:9" x14ac:dyDescent="0.2">
      <c r="B201" s="1"/>
    </row>
    <row r="202" spans="2:9" x14ac:dyDescent="0.2">
      <c r="B202" s="3"/>
      <c r="F202" s="9"/>
    </row>
    <row r="203" spans="2:9" x14ac:dyDescent="0.2">
      <c r="B203">
        <v>1</v>
      </c>
      <c r="C203" s="11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7">
        <v>4</v>
      </c>
      <c r="C206" s="7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49" t="s">
        <v>130</v>
      </c>
      <c r="C210" s="2"/>
      <c r="D210" s="17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71</v>
      </c>
    </row>
    <row r="216" spans="2:4" x14ac:dyDescent="0.2">
      <c r="B216" t="s">
        <v>72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73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74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75</v>
      </c>
      <c r="C222" s="50" t="e">
        <f>IF(#REF!&gt;50,0,IF(#REF!&lt;10,0,(#REF!*0)))</f>
        <v>#REF!</v>
      </c>
    </row>
    <row r="223" spans="2:4" x14ac:dyDescent="0.2">
      <c r="C223" s="26" t="e">
        <f>IF(C221&gt;0,C221,IF(C221&lt;0,C221,C222))</f>
        <v>#REF!</v>
      </c>
      <c r="D223" t="s">
        <v>76</v>
      </c>
    </row>
    <row r="225" spans="1:34" x14ac:dyDescent="0.2">
      <c r="F225" s="2"/>
    </row>
    <row r="230" spans="1:34" ht="16.5" customHeight="1" x14ac:dyDescent="0.25">
      <c r="A230" s="20" t="s">
        <v>4</v>
      </c>
      <c r="B230" s="23">
        <v>0</v>
      </c>
      <c r="C230" s="21" t="s">
        <v>5</v>
      </c>
      <c r="D230" s="8"/>
      <c r="E230" s="8"/>
      <c r="F230" s="8"/>
      <c r="G230" s="8"/>
      <c r="H230" s="8"/>
      <c r="I230" s="1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6.5" customHeight="1" x14ac:dyDescent="0.25">
      <c r="A231" s="20" t="s">
        <v>57</v>
      </c>
      <c r="B231" s="23">
        <v>0</v>
      </c>
      <c r="C231" s="21" t="s">
        <v>55</v>
      </c>
      <c r="D231" s="8"/>
      <c r="E231" s="8"/>
      <c r="F231" s="8"/>
      <c r="G231" s="8"/>
      <c r="H231" s="8"/>
      <c r="I231" s="1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3" spans="1:34" ht="16.5" customHeight="1" x14ac:dyDescent="0.25">
      <c r="A233" s="20" t="s">
        <v>16</v>
      </c>
      <c r="B233" s="23">
        <v>0</v>
      </c>
      <c r="C233" s="21" t="s">
        <v>5</v>
      </c>
      <c r="D233" s="8"/>
      <c r="E233" s="8"/>
      <c r="F233" s="8"/>
      <c r="G233" s="8"/>
      <c r="H233" s="8"/>
      <c r="I233" s="1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6.5" customHeight="1" x14ac:dyDescent="0.25">
      <c r="A234" s="20" t="s">
        <v>60</v>
      </c>
      <c r="B234" s="23">
        <v>0</v>
      </c>
      <c r="C234" s="21" t="s">
        <v>5</v>
      </c>
      <c r="D234" s="8"/>
      <c r="E234" s="8"/>
      <c r="F234" s="8"/>
      <c r="G234" s="8"/>
      <c r="H234" s="8"/>
      <c r="I234" s="1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6.5" customHeight="1" x14ac:dyDescent="0.25">
      <c r="A235" s="20" t="s">
        <v>7</v>
      </c>
      <c r="B235" s="23">
        <v>0</v>
      </c>
      <c r="C235" s="21" t="s">
        <v>5</v>
      </c>
      <c r="D235" s="8"/>
      <c r="E235" s="8"/>
      <c r="F235" s="8"/>
      <c r="G235" s="8"/>
      <c r="H235" s="8"/>
      <c r="I235" s="1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7" spans="1:34" ht="16.5" customHeight="1" x14ac:dyDescent="0.25">
      <c r="A237" s="20" t="s">
        <v>10</v>
      </c>
      <c r="B237" s="23">
        <v>0</v>
      </c>
      <c r="C237" s="21" t="s">
        <v>5</v>
      </c>
      <c r="D237" s="8"/>
      <c r="E237" s="8"/>
      <c r="F237" s="8"/>
      <c r="G237" s="8"/>
      <c r="H237" s="8"/>
      <c r="I237" s="1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5.75" customHeight="1" x14ac:dyDescent="0.25">
      <c r="A238" s="20" t="s">
        <v>11</v>
      </c>
      <c r="B238" s="22">
        <v>0</v>
      </c>
      <c r="C238" s="21" t="s">
        <v>5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15" x14ac:dyDescent="0.25">
      <c r="A239" s="20" t="s">
        <v>12</v>
      </c>
      <c r="B239" s="19">
        <v>0</v>
      </c>
      <c r="C239" s="21" t="s">
        <v>5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2" spans="1:5" x14ac:dyDescent="0.2">
      <c r="A242" s="63" t="s">
        <v>46</v>
      </c>
      <c r="B242" s="34"/>
      <c r="C242" s="40"/>
      <c r="D242" s="40"/>
      <c r="E242" s="71"/>
    </row>
    <row r="243" spans="1:5" x14ac:dyDescent="0.2">
      <c r="A243" s="57" t="s">
        <v>20</v>
      </c>
      <c r="B243" s="4" t="s">
        <v>21</v>
      </c>
      <c r="C243" s="4" t="s">
        <v>22</v>
      </c>
      <c r="D243" s="4" t="s">
        <v>0</v>
      </c>
      <c r="E243" s="58" t="s">
        <v>1</v>
      </c>
    </row>
    <row r="244" spans="1:5" x14ac:dyDescent="0.2">
      <c r="A244" s="57" t="s">
        <v>4</v>
      </c>
      <c r="B244" s="1"/>
      <c r="E244" s="72"/>
    </row>
    <row r="245" spans="1:5" x14ac:dyDescent="0.2">
      <c r="A245" s="59" t="s">
        <v>23</v>
      </c>
      <c r="B245" s="1" t="e">
        <f>IF(#REF!&lt;9,#REF!,8)</f>
        <v>#REF!</v>
      </c>
      <c r="C245" s="5">
        <f>D153-C153</f>
        <v>173.03999999999996</v>
      </c>
      <c r="D245" s="16" t="e">
        <f>B245*C245</f>
        <v>#REF!</v>
      </c>
      <c r="E245" s="72"/>
    </row>
    <row r="246" spans="1:5" x14ac:dyDescent="0.2">
      <c r="A246" s="59" t="s">
        <v>44</v>
      </c>
      <c r="B246" s="1" t="e">
        <f>IF(#REF!&lt;9,0,#REF!-8)</f>
        <v>#REF!</v>
      </c>
      <c r="C246" s="5">
        <f>D154-C154</f>
        <v>117.42000000000007</v>
      </c>
      <c r="D246" s="16" t="e">
        <f>B246*C246</f>
        <v>#REF!</v>
      </c>
      <c r="E246" s="73" t="e">
        <f>SUM(D245:D246)</f>
        <v>#REF!</v>
      </c>
    </row>
    <row r="247" spans="1:5" x14ac:dyDescent="0.2">
      <c r="A247" s="74"/>
      <c r="B247" s="1"/>
      <c r="C247" s="5"/>
      <c r="D247" s="16"/>
      <c r="E247" s="72"/>
    </row>
    <row r="248" spans="1:5" x14ac:dyDescent="0.2">
      <c r="A248" s="74"/>
      <c r="B248" s="1"/>
      <c r="C248" s="5"/>
      <c r="D248" s="16"/>
      <c r="E248" s="72"/>
    </row>
    <row r="249" spans="1:5" x14ac:dyDescent="0.2">
      <c r="A249" s="55" t="s">
        <v>6</v>
      </c>
      <c r="B249" s="1"/>
      <c r="D249" s="16"/>
      <c r="E249" s="72"/>
    </row>
    <row r="250" spans="1:5" x14ac:dyDescent="0.2">
      <c r="A250" s="59" t="s">
        <v>109</v>
      </c>
      <c r="B250" s="1" t="e">
        <f>#REF!</f>
        <v>#REF!</v>
      </c>
      <c r="C250" s="5">
        <f>D157-C157</f>
        <v>25.020000000000039</v>
      </c>
      <c r="D250" s="16" t="e">
        <f>B250*C250</f>
        <v>#REF!</v>
      </c>
      <c r="E250" s="72"/>
    </row>
    <row r="251" spans="1:5" x14ac:dyDescent="0.2">
      <c r="A251" s="59"/>
      <c r="B251" s="1"/>
      <c r="C251" s="5"/>
      <c r="D251" s="16"/>
      <c r="E251" s="73" t="e">
        <f>SUM(D250:D252)</f>
        <v>#REF!</v>
      </c>
    </row>
    <row r="252" spans="1:5" x14ac:dyDescent="0.2">
      <c r="A252" s="60"/>
      <c r="B252" s="1"/>
      <c r="C252" s="5"/>
      <c r="D252" s="16"/>
      <c r="E252" s="72"/>
    </row>
    <row r="253" spans="1:5" x14ac:dyDescent="0.2">
      <c r="A253" s="55" t="s">
        <v>136</v>
      </c>
      <c r="B253" s="1"/>
      <c r="C253" s="5"/>
      <c r="D253" s="16"/>
      <c r="E253" s="72"/>
    </row>
    <row r="254" spans="1:5" x14ac:dyDescent="0.2">
      <c r="A254" s="59" t="s">
        <v>25</v>
      </c>
      <c r="B254" s="1" t="e">
        <f>IF(#REF!&lt;41,#REF!,40)</f>
        <v>#REF!</v>
      </c>
      <c r="C254" s="5">
        <f>D160-C160</f>
        <v>41.100000000000023</v>
      </c>
      <c r="D254" s="16" t="e">
        <f>B254*C254</f>
        <v>#REF!</v>
      </c>
      <c r="E254" s="72"/>
    </row>
    <row r="255" spans="1:5" x14ac:dyDescent="0.2">
      <c r="A255" s="60" t="s">
        <v>45</v>
      </c>
      <c r="B255" s="1" t="e">
        <f>IF(#REF!&lt;41,0,#REF!-Satser!#REF!)</f>
        <v>#REF!</v>
      </c>
      <c r="C255" s="5">
        <f>D161-C161</f>
        <v>27.480000000000018</v>
      </c>
      <c r="D255" s="16" t="e">
        <f>B255*C255</f>
        <v>#REF!</v>
      </c>
      <c r="E255" s="72"/>
    </row>
    <row r="256" spans="1:5" x14ac:dyDescent="0.2">
      <c r="A256" s="59"/>
      <c r="B256" s="1"/>
      <c r="C256" s="5"/>
      <c r="D256" s="16"/>
      <c r="E256" s="73" t="e">
        <f>SUM(D254:D255)</f>
        <v>#REF!</v>
      </c>
    </row>
    <row r="257" spans="1:5" x14ac:dyDescent="0.2">
      <c r="A257" s="55" t="s">
        <v>8</v>
      </c>
      <c r="B257" s="1"/>
      <c r="C257" s="5"/>
      <c r="D257" s="16"/>
      <c r="E257" s="72"/>
    </row>
    <row r="258" spans="1:5" x14ac:dyDescent="0.2">
      <c r="A258" s="59" t="s">
        <v>109</v>
      </c>
      <c r="B258" s="1" t="e">
        <f>#REF!</f>
        <v>#REF!</v>
      </c>
      <c r="C258" s="5">
        <f>D164-C164</f>
        <v>21.78000000000003</v>
      </c>
      <c r="D258" s="16" t="e">
        <f>B258*C258</f>
        <v>#REF!</v>
      </c>
      <c r="E258" s="72"/>
    </row>
    <row r="259" spans="1:5" x14ac:dyDescent="0.2">
      <c r="A259" s="59"/>
      <c r="B259" s="1"/>
      <c r="C259" s="5"/>
      <c r="D259" s="16"/>
      <c r="E259" s="73" t="e">
        <f>D258</f>
        <v>#REF!</v>
      </c>
    </row>
    <row r="260" spans="1:5" x14ac:dyDescent="0.2">
      <c r="A260" s="74"/>
      <c r="B260" s="1"/>
      <c r="C260" s="5"/>
      <c r="D260" s="16"/>
      <c r="E260" s="72"/>
    </row>
    <row r="261" spans="1:5" x14ac:dyDescent="0.2">
      <c r="A261" s="55" t="s">
        <v>16</v>
      </c>
      <c r="B261" s="1"/>
      <c r="D261" s="16"/>
      <c r="E261" s="72"/>
    </row>
    <row r="262" spans="1:5" x14ac:dyDescent="0.2">
      <c r="A262" s="75" t="s">
        <v>109</v>
      </c>
      <c r="B262" s="1" t="e">
        <f>#REF!</f>
        <v>#REF!</v>
      </c>
      <c r="C262" s="5">
        <f>D167-C167</f>
        <v>32.040000000000077</v>
      </c>
      <c r="D262" s="16" t="e">
        <f>B262*C262</f>
        <v>#REF!</v>
      </c>
      <c r="E262" s="72"/>
    </row>
    <row r="263" spans="1:5" x14ac:dyDescent="0.2">
      <c r="A263" s="60"/>
      <c r="B263" s="1"/>
      <c r="C263" s="5"/>
      <c r="D263" s="16"/>
      <c r="E263" s="73" t="e">
        <f>D262</f>
        <v>#REF!</v>
      </c>
    </row>
    <row r="264" spans="1:5" x14ac:dyDescent="0.2">
      <c r="A264" s="59"/>
      <c r="B264" s="1"/>
      <c r="C264" s="5"/>
      <c r="D264" s="16"/>
      <c r="E264" s="73"/>
    </row>
    <row r="265" spans="1:5" x14ac:dyDescent="0.2">
      <c r="A265" s="55" t="s">
        <v>10</v>
      </c>
      <c r="B265" s="1"/>
      <c r="D265" s="16"/>
      <c r="E265" s="72"/>
    </row>
    <row r="266" spans="1:5" x14ac:dyDescent="0.2">
      <c r="A266" s="75" t="s">
        <v>109</v>
      </c>
      <c r="B266" s="1" t="e">
        <f>#REF!</f>
        <v>#REF!</v>
      </c>
      <c r="C266" s="5">
        <f>D170-C170</f>
        <v>49.440000000000055</v>
      </c>
      <c r="D266" s="16" t="e">
        <f>B266*C266</f>
        <v>#REF!</v>
      </c>
      <c r="E266" s="72"/>
    </row>
    <row r="267" spans="1:5" x14ac:dyDescent="0.2">
      <c r="A267" s="60"/>
      <c r="B267" s="1"/>
      <c r="C267" s="5"/>
      <c r="D267" s="16"/>
      <c r="E267" s="73" t="e">
        <f>D266</f>
        <v>#REF!</v>
      </c>
    </row>
    <row r="268" spans="1:5" x14ac:dyDescent="0.2">
      <c r="A268" s="74"/>
      <c r="E268" s="72"/>
    </row>
    <row r="269" spans="1:5" x14ac:dyDescent="0.2">
      <c r="A269" s="74"/>
      <c r="E269" s="72"/>
    </row>
    <row r="270" spans="1:5" x14ac:dyDescent="0.2">
      <c r="A270" s="55" t="s">
        <v>11</v>
      </c>
      <c r="B270" s="1"/>
      <c r="C270" s="5"/>
      <c r="D270" s="16"/>
      <c r="E270" s="72"/>
    </row>
    <row r="271" spans="1:5" x14ac:dyDescent="0.2">
      <c r="A271" s="75" t="s">
        <v>109</v>
      </c>
      <c r="B271" s="1" t="e">
        <f>#REF!</f>
        <v>#REF!</v>
      </c>
      <c r="C271" s="5">
        <f>D173-C173</f>
        <v>1.740000000000002</v>
      </c>
      <c r="D271" s="16" t="e">
        <f>B271*C271</f>
        <v>#REF!</v>
      </c>
      <c r="E271" s="72"/>
    </row>
    <row r="272" spans="1:5" x14ac:dyDescent="0.2">
      <c r="A272" s="75"/>
      <c r="B272" s="1"/>
      <c r="C272" s="5"/>
      <c r="D272" s="16"/>
      <c r="E272" s="73" t="e">
        <f>D271</f>
        <v>#REF!</v>
      </c>
    </row>
    <row r="273" spans="1:7" x14ac:dyDescent="0.2">
      <c r="A273" s="75"/>
      <c r="B273" s="1"/>
      <c r="C273" s="5"/>
      <c r="D273" s="16"/>
      <c r="E273" s="72"/>
    </row>
    <row r="274" spans="1:7" x14ac:dyDescent="0.2">
      <c r="A274" s="55" t="s">
        <v>12</v>
      </c>
      <c r="B274" s="1"/>
      <c r="C274" s="5"/>
      <c r="D274" s="16"/>
      <c r="E274" s="72"/>
    </row>
    <row r="275" spans="1:7" x14ac:dyDescent="0.2">
      <c r="A275" s="59" t="s">
        <v>109</v>
      </c>
      <c r="B275" s="1" t="e">
        <f>#REF!</f>
        <v>#REF!</v>
      </c>
      <c r="C275" s="15">
        <f>D176-C176</f>
        <v>0.43200000000000038</v>
      </c>
      <c r="D275" s="16" t="e">
        <f>B275*C275</f>
        <v>#REF!</v>
      </c>
      <c r="E275" s="72"/>
    </row>
    <row r="276" spans="1:7" x14ac:dyDescent="0.2">
      <c r="A276" s="60"/>
      <c r="B276" s="1"/>
      <c r="C276" s="15"/>
      <c r="D276" s="16"/>
      <c r="E276" s="73" t="e">
        <f>D275</f>
        <v>#REF!</v>
      </c>
    </row>
    <row r="277" spans="1:7" x14ac:dyDescent="0.2">
      <c r="A277" s="74"/>
      <c r="E277" s="72"/>
    </row>
    <row r="278" spans="1:7" x14ac:dyDescent="0.2">
      <c r="A278" s="55" t="s">
        <v>127</v>
      </c>
      <c r="E278" s="72"/>
    </row>
    <row r="279" spans="1:7" x14ac:dyDescent="0.2">
      <c r="A279" s="74"/>
      <c r="B279" t="e">
        <f>#REF!</f>
        <v>#REF!</v>
      </c>
      <c r="C279" s="15">
        <f>D191-C191</f>
        <v>1.8000000000000016E-2</v>
      </c>
      <c r="D279" t="e">
        <f>B279*C279</f>
        <v>#REF!</v>
      </c>
      <c r="E279" s="72"/>
    </row>
    <row r="280" spans="1:7" x14ac:dyDescent="0.2">
      <c r="A280" s="74"/>
      <c r="E280" s="64" t="e">
        <f>D279</f>
        <v>#REF!</v>
      </c>
    </row>
    <row r="281" spans="1:7" x14ac:dyDescent="0.2">
      <c r="A281" s="74"/>
      <c r="E281" s="72"/>
    </row>
    <row r="282" spans="1:7" x14ac:dyDescent="0.2">
      <c r="A282" s="57" t="s">
        <v>128</v>
      </c>
      <c r="B282" s="4"/>
      <c r="C282" s="4"/>
      <c r="D282" s="4"/>
      <c r="E282" s="76" t="e">
        <f>SUM(E246:E280)</f>
        <v>#REF!</v>
      </c>
    </row>
    <row r="285" spans="1:7" x14ac:dyDescent="0.2">
      <c r="B285" t="s">
        <v>150</v>
      </c>
      <c r="D285" t="s">
        <v>153</v>
      </c>
      <c r="E285" t="s">
        <v>154</v>
      </c>
      <c r="G285" t="s">
        <v>30</v>
      </c>
    </row>
    <row r="287" spans="1:7" x14ac:dyDescent="0.2">
      <c r="B287" t="s">
        <v>61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151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152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1"/>
      <c r="E294" s="1" t="e">
        <f>#REF!</f>
        <v>#REF!</v>
      </c>
      <c r="F294" s="15"/>
      <c r="G294" t="e">
        <f t="shared" si="3"/>
        <v>#REF!</v>
      </c>
      <c r="H294" s="17"/>
    </row>
    <row r="295" spans="2:8" x14ac:dyDescent="0.2">
      <c r="D295" s="1"/>
      <c r="E295" s="1"/>
      <c r="F295" s="15" t="s">
        <v>155</v>
      </c>
      <c r="G295" s="16" t="e">
        <f>SUM(G287:G294)</f>
        <v>#REF!</v>
      </c>
      <c r="H295" s="16" t="e">
        <f>SUM(H287:H294)</f>
        <v>#REF!</v>
      </c>
    </row>
    <row r="296" spans="2:8" x14ac:dyDescent="0.2">
      <c r="D296" s="1"/>
      <c r="E296" s="1"/>
      <c r="F296" s="15"/>
      <c r="G296" s="16"/>
      <c r="H296" s="17" t="e">
        <f>H295+G295</f>
        <v>#REF!</v>
      </c>
    </row>
    <row r="297" spans="2:8" x14ac:dyDescent="0.2">
      <c r="D297" s="1"/>
      <c r="E297" s="1"/>
      <c r="F297" s="15"/>
      <c r="G297" s="16"/>
      <c r="H297" s="17"/>
    </row>
    <row r="298" spans="2:8" x14ac:dyDescent="0.2">
      <c r="D298" s="1"/>
      <c r="E298" s="1"/>
      <c r="F298" s="5"/>
    </row>
    <row r="299" spans="2:8" x14ac:dyDescent="0.2">
      <c r="D299" s="1"/>
      <c r="E299" s="1"/>
      <c r="F299" s="5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F664"/>
  <sheetViews>
    <sheetView showGridLines="0" tabSelected="1" zoomScaleNormal="100" workbookViewId="0">
      <selection activeCell="L7" sqref="L7"/>
    </sheetView>
  </sheetViews>
  <sheetFormatPr baseColWidth="10" defaultColWidth="9.140625" defaultRowHeight="12.75" x14ac:dyDescent="0.2"/>
  <cols>
    <col min="1" max="1" width="50.7109375" style="1" customWidth="1"/>
    <col min="2" max="2" width="11.140625" style="1" customWidth="1"/>
    <col min="3" max="3" width="8.7109375" style="1" customWidth="1"/>
    <col min="4" max="4" width="52.85546875" style="102" customWidth="1"/>
    <col min="5" max="5" width="18.5703125" style="102" customWidth="1"/>
    <col min="6" max="6" width="24.42578125" style="133" customWidth="1"/>
    <col min="7" max="7" width="18" style="102" hidden="1" customWidth="1"/>
    <col min="8" max="8" width="15" style="102" hidden="1" customWidth="1"/>
    <col min="9" max="32" width="9.140625" style="102" customWidth="1"/>
    <col min="33" max="16384" width="9.140625" style="1"/>
  </cols>
  <sheetData>
    <row r="1" spans="1:8" ht="27.75" x14ac:dyDescent="0.4">
      <c r="A1" s="284" t="s">
        <v>389</v>
      </c>
      <c r="B1" s="101"/>
      <c r="C1" s="101"/>
      <c r="D1" s="182"/>
    </row>
    <row r="2" spans="1:8" ht="23.25" x14ac:dyDescent="0.35">
      <c r="A2" s="283" t="s">
        <v>381</v>
      </c>
      <c r="B2" s="101"/>
      <c r="C2" s="101"/>
      <c r="D2" s="182"/>
    </row>
    <row r="3" spans="1:8" ht="19.5" customHeight="1" x14ac:dyDescent="0.35">
      <c r="A3" s="285" t="s">
        <v>401</v>
      </c>
      <c r="B3" s="101"/>
      <c r="C3" s="101"/>
      <c r="D3" s="182"/>
    </row>
    <row r="4" spans="1:8" ht="7.5" customHeight="1" thickBot="1" x14ac:dyDescent="0.25">
      <c r="A4" s="103"/>
      <c r="B4" s="103"/>
      <c r="C4" s="103"/>
    </row>
    <row r="5" spans="1:8" ht="20.25" customHeight="1" thickBot="1" x14ac:dyDescent="0.35">
      <c r="A5" s="99" t="s">
        <v>121</v>
      </c>
      <c r="B5" s="100"/>
      <c r="C5" s="251"/>
      <c r="D5" s="262" t="s">
        <v>243</v>
      </c>
      <c r="E5" s="331" t="s">
        <v>337</v>
      </c>
      <c r="F5" s="332"/>
      <c r="G5" s="329" t="s">
        <v>139</v>
      </c>
      <c r="H5" s="330"/>
    </row>
    <row r="6" spans="1:8" ht="16.5" customHeight="1" thickBot="1" x14ac:dyDescent="0.3">
      <c r="A6" s="323" t="s">
        <v>275</v>
      </c>
      <c r="B6" s="324"/>
      <c r="C6" s="325"/>
      <c r="D6" s="299" t="s">
        <v>338</v>
      </c>
      <c r="E6" s="280" t="s">
        <v>189</v>
      </c>
      <c r="F6" s="281" t="s">
        <v>193</v>
      </c>
      <c r="G6" s="108">
        <v>0.09</v>
      </c>
      <c r="H6" s="109">
        <f>(B19+B20)*G6</f>
        <v>0</v>
      </c>
    </row>
    <row r="7" spans="1:8" ht="16.5" customHeight="1" x14ac:dyDescent="0.25">
      <c r="A7" s="326" t="s">
        <v>159</v>
      </c>
      <c r="B7" s="327">
        <v>1</v>
      </c>
      <c r="C7" s="328"/>
      <c r="D7" s="300" t="s">
        <v>339</v>
      </c>
      <c r="E7" s="286"/>
      <c r="F7" s="163"/>
      <c r="G7" s="105"/>
      <c r="H7" s="104" t="s">
        <v>1</v>
      </c>
    </row>
    <row r="8" spans="1:8" ht="15.75" customHeight="1" x14ac:dyDescent="0.25">
      <c r="A8" s="150" t="str">
        <f>IF(B7="5B", "Holder du til i Rogaland?","")</f>
        <v/>
      </c>
      <c r="B8" s="151" t="s">
        <v>332</v>
      </c>
      <c r="C8" s="302"/>
      <c r="D8" s="263" t="s">
        <v>197</v>
      </c>
      <c r="E8" s="286" t="s">
        <v>390</v>
      </c>
      <c r="F8" s="163">
        <f>($B$19+$B$20)*Satser!$C$240</f>
        <v>0</v>
      </c>
      <c r="G8" s="198"/>
      <c r="H8" s="237"/>
    </row>
    <row r="9" spans="1:8" ht="16.5" customHeight="1" x14ac:dyDescent="0.25">
      <c r="A9" s="150" t="s">
        <v>295</v>
      </c>
      <c r="B9" s="301" t="s">
        <v>300</v>
      </c>
      <c r="C9" s="302"/>
      <c r="D9" s="263" t="s">
        <v>341</v>
      </c>
      <c r="E9" s="286" t="s">
        <v>391</v>
      </c>
      <c r="F9" s="163">
        <f>($B$24*Satser!$C$245)</f>
        <v>0</v>
      </c>
      <c r="G9" s="198"/>
      <c r="H9" s="237"/>
    </row>
    <row r="10" spans="1:8" ht="16.5" customHeight="1" x14ac:dyDescent="0.25">
      <c r="A10" s="150" t="s">
        <v>386</v>
      </c>
      <c r="B10" s="327">
        <v>1</v>
      </c>
      <c r="C10" s="302"/>
      <c r="D10" s="263" t="s">
        <v>394</v>
      </c>
      <c r="E10" s="286" t="s">
        <v>395</v>
      </c>
      <c r="F10" s="163">
        <f>(Utslag!$B$26*Satser!$C$250)+(Utslag!$B$25*Satser!$C$247)</f>
        <v>0</v>
      </c>
      <c r="G10" s="198"/>
      <c r="H10" s="237"/>
    </row>
    <row r="11" spans="1:8" ht="16.5" customHeight="1" x14ac:dyDescent="0.25">
      <c r="A11" s="150" t="s">
        <v>369</v>
      </c>
      <c r="B11" s="151" t="s">
        <v>332</v>
      </c>
      <c r="C11" s="302"/>
      <c r="D11" s="263" t="s">
        <v>342</v>
      </c>
      <c r="E11" s="286" t="s">
        <v>392</v>
      </c>
      <c r="F11" s="163">
        <f>$B$29*Satser!$C$252</f>
        <v>0</v>
      </c>
      <c r="G11" s="198"/>
      <c r="H11" s="237"/>
    </row>
    <row r="12" spans="1:8" ht="15.75" customHeight="1" x14ac:dyDescent="0.2">
      <c r="A12" s="238" t="str">
        <f>IF(B7=5,"Rogaland, Hordaland, Sogn- og Fjordane eller Møre og Romsdal?","")</f>
        <v/>
      </c>
      <c r="B12" s="303" t="str">
        <f>IF(C7=5,"Rogaland, Hordaland, Sogn- og Fjordane eller Møre og Romsdal?","")</f>
        <v/>
      </c>
      <c r="C12" s="233"/>
      <c r="D12" s="264" t="s">
        <v>242</v>
      </c>
      <c r="E12" s="236" t="s">
        <v>393</v>
      </c>
      <c r="F12" s="246">
        <f>$B$39*Satser!$C$254</f>
        <v>0</v>
      </c>
      <c r="G12" s="198"/>
      <c r="H12" s="237"/>
    </row>
    <row r="13" spans="1:8" ht="16.5" customHeight="1" x14ac:dyDescent="0.25">
      <c r="A13" s="150" t="s">
        <v>233</v>
      </c>
      <c r="B13" s="151" t="s">
        <v>210</v>
      </c>
      <c r="C13" s="334"/>
      <c r="D13" s="336" t="s">
        <v>387</v>
      </c>
      <c r="E13" s="287"/>
      <c r="F13" s="309"/>
      <c r="G13" s="108"/>
      <c r="H13" s="109"/>
    </row>
    <row r="14" spans="1:8" ht="30" customHeight="1" x14ac:dyDescent="0.25">
      <c r="A14" s="296" t="s">
        <v>370</v>
      </c>
      <c r="B14" s="184"/>
      <c r="C14" s="335" t="s">
        <v>371</v>
      </c>
      <c r="D14" s="337" t="s">
        <v>204</v>
      </c>
      <c r="E14" s="286" t="s">
        <v>281</v>
      </c>
      <c r="F14" s="163">
        <f>(66.19*$E$14*$B$21)</f>
        <v>0</v>
      </c>
      <c r="G14" s="108"/>
      <c r="H14" s="109"/>
    </row>
    <row r="15" spans="1:8" ht="30" customHeight="1" x14ac:dyDescent="0.25">
      <c r="A15" s="296" t="s">
        <v>377</v>
      </c>
      <c r="B15" s="151" t="s">
        <v>210</v>
      </c>
      <c r="C15" s="335"/>
      <c r="D15" s="337" t="s">
        <v>206</v>
      </c>
      <c r="E15" s="286" t="s">
        <v>281</v>
      </c>
      <c r="F15" s="163">
        <f>(54.25*$E$15*$B$23)</f>
        <v>0</v>
      </c>
      <c r="G15" s="108"/>
      <c r="H15" s="109"/>
    </row>
    <row r="16" spans="1:8" ht="18" customHeight="1" x14ac:dyDescent="0.25">
      <c r="A16" s="296" t="s">
        <v>378</v>
      </c>
      <c r="B16" s="322"/>
      <c r="C16" s="335" t="s">
        <v>247</v>
      </c>
      <c r="D16" s="337" t="s">
        <v>280</v>
      </c>
      <c r="E16" s="286" t="s">
        <v>281</v>
      </c>
      <c r="F16" s="163">
        <f>(37.55*$B$22*$E$16)</f>
        <v>0</v>
      </c>
      <c r="G16" s="108"/>
      <c r="H16" s="109"/>
    </row>
    <row r="17" spans="1:8" ht="16.5" customHeight="1" x14ac:dyDescent="0.25">
      <c r="A17" s="150"/>
      <c r="B17" s="303" t="str">
        <f>IF(C12=5,"Rogaland, Hordaland, Sogn- og Fjordane eller Møre og Romsdal?","")</f>
        <v/>
      </c>
      <c r="C17" s="334"/>
      <c r="D17" s="337" t="s">
        <v>207</v>
      </c>
      <c r="E17" s="286" t="s">
        <v>281</v>
      </c>
      <c r="F17" s="163">
        <f>(20.28*$E$17*$B$27)</f>
        <v>0</v>
      </c>
      <c r="G17" s="108"/>
      <c r="H17" s="109"/>
    </row>
    <row r="18" spans="1:8" ht="15.75" customHeight="1" x14ac:dyDescent="0.25">
      <c r="A18" s="150" t="s">
        <v>66</v>
      </c>
      <c r="B18" s="20"/>
      <c r="C18" s="334"/>
      <c r="D18" s="337" t="s">
        <v>244</v>
      </c>
      <c r="E18" s="286" t="s">
        <v>281</v>
      </c>
      <c r="F18" s="163">
        <f>(27.17*E18*$B$28)</f>
        <v>0</v>
      </c>
      <c r="G18" s="108">
        <v>0.02</v>
      </c>
      <c r="H18" s="109">
        <f>B24*G18</f>
        <v>0</v>
      </c>
    </row>
    <row r="19" spans="1:8" ht="15.75" customHeight="1" x14ac:dyDescent="0.25">
      <c r="A19" s="155" t="s">
        <v>13</v>
      </c>
      <c r="B19" s="184"/>
      <c r="C19" s="335" t="s">
        <v>14</v>
      </c>
      <c r="D19" s="338" t="s">
        <v>340</v>
      </c>
      <c r="E19" s="236" t="s">
        <v>398</v>
      </c>
      <c r="F19" s="164">
        <f>$B$30*0.21</f>
        <v>0</v>
      </c>
      <c r="G19" s="108">
        <v>0.02</v>
      </c>
      <c r="H19" s="109" t="e">
        <f>#REF!*G19</f>
        <v>#REF!</v>
      </c>
    </row>
    <row r="20" spans="1:8" ht="15.75" customHeight="1" x14ac:dyDescent="0.25">
      <c r="A20" s="155" t="s">
        <v>15</v>
      </c>
      <c r="B20" s="184"/>
      <c r="C20" s="335" t="s">
        <v>14</v>
      </c>
      <c r="D20" s="339" t="s">
        <v>203</v>
      </c>
      <c r="E20" s="169"/>
      <c r="F20" s="170">
        <f>SUM(F8:F18)</f>
        <v>0</v>
      </c>
      <c r="G20" s="108"/>
      <c r="H20" s="109"/>
    </row>
    <row r="21" spans="1:8" ht="15.75" customHeight="1" x14ac:dyDescent="0.25">
      <c r="A21" s="155" t="s">
        <v>137</v>
      </c>
      <c r="B21" s="184"/>
      <c r="C21" s="152" t="s">
        <v>2</v>
      </c>
      <c r="D21" s="263" t="s">
        <v>380</v>
      </c>
      <c r="E21" s="286"/>
      <c r="F21" s="266">
        <f>Satser!N81+2*B35</f>
        <v>0</v>
      </c>
      <c r="G21" s="108"/>
      <c r="H21" s="109"/>
    </row>
    <row r="22" spans="1:8" ht="15.75" customHeight="1" x14ac:dyDescent="0.25">
      <c r="A22" s="155" t="s">
        <v>164</v>
      </c>
      <c r="B22" s="184"/>
      <c r="C22" s="152" t="s">
        <v>2</v>
      </c>
      <c r="D22" s="263" t="s">
        <v>347</v>
      </c>
      <c r="E22" s="286"/>
      <c r="F22" s="266">
        <f>$B$30*0</f>
        <v>0</v>
      </c>
      <c r="G22" s="108">
        <v>0.25</v>
      </c>
      <c r="H22" s="109">
        <f>B27*G22</f>
        <v>0</v>
      </c>
    </row>
    <row r="23" spans="1:8" ht="15.75" customHeight="1" x14ac:dyDescent="0.25">
      <c r="A23" s="155" t="s">
        <v>165</v>
      </c>
      <c r="B23" s="184"/>
      <c r="C23" s="152" t="s">
        <v>2</v>
      </c>
      <c r="D23" s="263" t="s">
        <v>336</v>
      </c>
      <c r="E23" s="286"/>
      <c r="F23" s="266">
        <f>20*B57+70*B54-350*B55</f>
        <v>0</v>
      </c>
      <c r="G23" s="114">
        <v>4.5999999999999999E-2</v>
      </c>
      <c r="H23" s="115">
        <f>B39*G23</f>
        <v>0</v>
      </c>
    </row>
    <row r="24" spans="1:8" ht="15.75" customHeight="1" x14ac:dyDescent="0.25">
      <c r="A24" s="155" t="s">
        <v>396</v>
      </c>
      <c r="B24" s="184"/>
      <c r="C24" s="152" t="s">
        <v>2</v>
      </c>
      <c r="D24" s="263" t="s">
        <v>218</v>
      </c>
      <c r="E24" s="310"/>
      <c r="F24" s="163">
        <f>IF($B$7="","Sone mangler",Satser!$E$38)</f>
        <v>0</v>
      </c>
      <c r="G24" s="105"/>
      <c r="H24" s="116" t="e">
        <f>SUM(H6:H23)</f>
        <v>#REF!</v>
      </c>
    </row>
    <row r="25" spans="1:8" ht="15.75" customHeight="1" x14ac:dyDescent="0.25">
      <c r="A25" s="155" t="s">
        <v>397</v>
      </c>
      <c r="B25" s="184"/>
      <c r="C25" s="152" t="s">
        <v>2</v>
      </c>
      <c r="D25" s="263" t="s">
        <v>65</v>
      </c>
      <c r="E25" s="311"/>
      <c r="F25" s="163">
        <f>Satser!$C$102</f>
        <v>0</v>
      </c>
      <c r="G25" s="198"/>
      <c r="H25" s="199"/>
    </row>
    <row r="26" spans="1:8" ht="15.75" customHeight="1" x14ac:dyDescent="0.25">
      <c r="A26" s="155" t="s">
        <v>68</v>
      </c>
      <c r="B26" s="184"/>
      <c r="C26" s="152" t="s">
        <v>2</v>
      </c>
      <c r="D26" s="263" t="s">
        <v>268</v>
      </c>
      <c r="E26" s="311"/>
      <c r="F26" s="163">
        <f>IF($B$50&lt;6,0,IF($B$50&lt;23,$B$50*0,IF($B$50&lt;51,(0*23)-(0*($B$50-23)),0)))</f>
        <v>0</v>
      </c>
      <c r="G26" s="198"/>
      <c r="H26" s="199"/>
    </row>
    <row r="27" spans="1:8" ht="19.5" customHeight="1" x14ac:dyDescent="0.25">
      <c r="A27" s="155" t="s">
        <v>79</v>
      </c>
      <c r="B27" s="184"/>
      <c r="C27" s="152" t="s">
        <v>2</v>
      </c>
      <c r="D27" s="263" t="s">
        <v>156</v>
      </c>
      <c r="E27" s="312"/>
      <c r="F27" s="163">
        <f>Satser!$J$205</f>
        <v>0</v>
      </c>
      <c r="G27" s="118" t="s">
        <v>148</v>
      </c>
      <c r="H27" s="109" t="e">
        <f>0*'Ark18'!C20+0*#REF!-#REF!*63+#REF!*0</f>
        <v>#REF!</v>
      </c>
    </row>
    <row r="28" spans="1:8" ht="18" customHeight="1" x14ac:dyDescent="0.25">
      <c r="A28" s="155" t="s">
        <v>200</v>
      </c>
      <c r="B28" s="184"/>
      <c r="C28" s="152" t="s">
        <v>2</v>
      </c>
      <c r="D28" s="263" t="s">
        <v>219</v>
      </c>
      <c r="E28" s="312"/>
      <c r="F28" s="163">
        <f>Satser!$C$164</f>
        <v>0</v>
      </c>
      <c r="G28" s="118"/>
      <c r="H28" s="109"/>
    </row>
    <row r="29" spans="1:8" ht="19.5" customHeight="1" x14ac:dyDescent="0.25">
      <c r="A29" s="155" t="s">
        <v>343</v>
      </c>
      <c r="B29" s="184"/>
      <c r="C29" s="152" t="s">
        <v>2</v>
      </c>
      <c r="D29" s="263" t="s">
        <v>71</v>
      </c>
      <c r="E29" s="312"/>
      <c r="F29" s="163">
        <f>IF($B$50=0,0,IF($B$50&gt;4,Satser!$N$63,Satser!$N$63/5*$B$50))+IF($B$53=0,0,IF($B$53&gt;27,28000,28000/27*$B$53))+IF($B$51&gt;40,Satser!$N$68,IF($B$51&lt;6,0,$B$51*Satser!$N$68/40))</f>
        <v>0</v>
      </c>
      <c r="G29" s="117">
        <v>7</v>
      </c>
      <c r="H29" s="109" t="e">
        <f>('Ark18'!C8+'Ark18'!C9+(B41*0.6)+B42+#REF!+'Ark18'!C6+'Ark18'!C7)*G29</f>
        <v>#REF!</v>
      </c>
    </row>
    <row r="30" spans="1:8" ht="19.5" customHeight="1" x14ac:dyDescent="0.25">
      <c r="A30" s="155" t="s">
        <v>344</v>
      </c>
      <c r="B30" s="184"/>
      <c r="C30" s="152" t="s">
        <v>2</v>
      </c>
      <c r="D30" s="263" t="s">
        <v>383</v>
      </c>
      <c r="E30" s="312"/>
      <c r="F30" s="163">
        <f>B14*0.254</f>
        <v>0</v>
      </c>
      <c r="G30" s="117"/>
      <c r="H30" s="109"/>
    </row>
    <row r="31" spans="1:8" ht="18.75" customHeight="1" x14ac:dyDescent="0.25">
      <c r="A31" s="155" t="s">
        <v>260</v>
      </c>
      <c r="B31" s="184"/>
      <c r="C31" s="152" t="s">
        <v>2</v>
      </c>
      <c r="D31" s="263" t="s">
        <v>368</v>
      </c>
      <c r="E31" s="312"/>
      <c r="F31" s="163">
        <f>IF(B11="Ja",30000,0)</f>
        <v>0</v>
      </c>
      <c r="G31" s="117"/>
      <c r="H31" s="109"/>
    </row>
    <row r="32" spans="1:8" ht="19.5" customHeight="1" x14ac:dyDescent="0.25">
      <c r="A32" s="155" t="s">
        <v>278</v>
      </c>
      <c r="B32" s="184"/>
      <c r="C32" s="152" t="s">
        <v>2</v>
      </c>
      <c r="D32" s="263" t="s">
        <v>372</v>
      </c>
      <c r="E32" s="312"/>
      <c r="F32" s="163">
        <f>B44*0</f>
        <v>0</v>
      </c>
      <c r="G32" s="117"/>
      <c r="H32" s="109"/>
    </row>
    <row r="33" spans="1:8" ht="24" customHeight="1" x14ac:dyDescent="0.25">
      <c r="A33" s="155" t="s">
        <v>261</v>
      </c>
      <c r="B33" s="184"/>
      <c r="C33" s="152" t="s">
        <v>2</v>
      </c>
      <c r="D33" s="263" t="s">
        <v>379</v>
      </c>
      <c r="E33" s="312"/>
      <c r="F33" s="163">
        <f>IF(B15="Nei",0,B16*0)</f>
        <v>0</v>
      </c>
      <c r="G33" s="117"/>
      <c r="H33" s="109"/>
    </row>
    <row r="34" spans="1:8" ht="21" customHeight="1" x14ac:dyDescent="0.25">
      <c r="A34" s="155" t="s">
        <v>403</v>
      </c>
      <c r="B34" s="184"/>
      <c r="C34" s="152" t="s">
        <v>2</v>
      </c>
      <c r="D34" s="263" t="s">
        <v>250</v>
      </c>
      <c r="E34" s="286"/>
      <c r="F34" s="163">
        <f>$B$68*300+$B$69*75+$B$66*230+$B$67*25</f>
        <v>0</v>
      </c>
      <c r="G34" s="117"/>
      <c r="H34" s="109"/>
    </row>
    <row r="35" spans="1:8" ht="21" customHeight="1" x14ac:dyDescent="0.25">
      <c r="A35" s="155" t="s">
        <v>402</v>
      </c>
      <c r="B35" s="184"/>
      <c r="C35" s="152" t="s">
        <v>2</v>
      </c>
      <c r="D35" s="263" t="s">
        <v>255</v>
      </c>
      <c r="E35" s="312"/>
      <c r="F35" s="163">
        <v>0</v>
      </c>
      <c r="G35" s="117"/>
      <c r="H35" s="109"/>
    </row>
    <row r="36" spans="1:8" ht="23.25" customHeight="1" x14ac:dyDescent="0.25">
      <c r="A36" s="155" t="s">
        <v>265</v>
      </c>
      <c r="B36" s="184"/>
      <c r="C36" s="152" t="s">
        <v>2</v>
      </c>
      <c r="D36" s="265" t="s">
        <v>132</v>
      </c>
      <c r="E36" s="167"/>
      <c r="F36" s="168">
        <f>SUM(F21:F35)</f>
        <v>0</v>
      </c>
      <c r="G36" s="117"/>
      <c r="H36" s="109"/>
    </row>
    <row r="37" spans="1:8" ht="16.5" customHeight="1" x14ac:dyDescent="0.25">
      <c r="A37" s="155" t="s">
        <v>266</v>
      </c>
      <c r="B37" s="184"/>
      <c r="C37" s="152" t="s">
        <v>2</v>
      </c>
      <c r="D37" s="267" t="s">
        <v>384</v>
      </c>
      <c r="E37" s="173"/>
      <c r="F37" s="174">
        <f>F36+F20</f>
        <v>0</v>
      </c>
      <c r="G37" s="117"/>
      <c r="H37" s="109"/>
    </row>
    <row r="38" spans="1:8" ht="17.25" customHeight="1" x14ac:dyDescent="0.25">
      <c r="A38" s="155" t="s">
        <v>267</v>
      </c>
      <c r="B38" s="184"/>
      <c r="C38" s="152" t="s">
        <v>2</v>
      </c>
      <c r="D38" s="268" t="s">
        <v>201</v>
      </c>
      <c r="E38" s="313"/>
      <c r="F38" s="148"/>
      <c r="G38" s="117"/>
      <c r="H38" s="109"/>
    </row>
    <row r="39" spans="1:8" ht="15.75" customHeight="1" x14ac:dyDescent="0.25">
      <c r="A39" s="156" t="s">
        <v>257</v>
      </c>
      <c r="B39" s="183"/>
      <c r="C39" s="154" t="s">
        <v>54</v>
      </c>
      <c r="D39" s="269" t="s">
        <v>202</v>
      </c>
      <c r="E39" s="314"/>
      <c r="F39" s="149"/>
      <c r="G39" s="117"/>
      <c r="H39" s="109" t="e">
        <f>tilbud!E37</f>
        <v>#REF!</v>
      </c>
    </row>
    <row r="40" spans="1:8" ht="18.75" customHeight="1" x14ac:dyDescent="0.25">
      <c r="A40" s="158" t="s">
        <v>49</v>
      </c>
      <c r="B40" s="159"/>
      <c r="C40" s="234"/>
      <c r="D40" s="315" t="s">
        <v>315</v>
      </c>
      <c r="E40" s="316"/>
      <c r="F40" s="165"/>
      <c r="G40" s="120" t="e">
        <f>IF(tilbud!C204&gt;0,"Toppavgrensing",IF(tilbud!C205&gt;0,"Toppavgrensing",IF(tilbud!C206&gt;0,"Toppavgr.før, ikke nå","")))</f>
        <v>#REF!</v>
      </c>
      <c r="H40" s="109" t="e">
        <f>IF(tilbud!$C$207=0,tilbud!$D$210,tilbud!$C$207)</f>
        <v>#REF!</v>
      </c>
    </row>
    <row r="41" spans="1:8" ht="15" customHeight="1" x14ac:dyDescent="0.25">
      <c r="A41" s="155" t="s">
        <v>69</v>
      </c>
      <c r="B41" s="185"/>
      <c r="C41" s="152" t="s">
        <v>3</v>
      </c>
      <c r="D41" s="317" t="s">
        <v>212</v>
      </c>
      <c r="E41" s="295">
        <v>3.3000000000000002E-2</v>
      </c>
      <c r="F41" s="282">
        <f>E41*$B$71</f>
        <v>0</v>
      </c>
      <c r="G41" s="123">
        <v>0.02</v>
      </c>
      <c r="H41" s="124">
        <f>G41*'Ark18'!C22</f>
        <v>0</v>
      </c>
    </row>
    <row r="42" spans="1:8" ht="15" customHeight="1" x14ac:dyDescent="0.25">
      <c r="A42" s="155" t="s">
        <v>70</v>
      </c>
      <c r="B42" s="185"/>
      <c r="C42" s="152" t="s">
        <v>3</v>
      </c>
      <c r="D42" s="263" t="s">
        <v>382</v>
      </c>
      <c r="E42" s="318"/>
      <c r="F42" s="200">
        <f>B72*(-0.4)+B72*B73/100</f>
        <v>0</v>
      </c>
      <c r="G42" s="126"/>
      <c r="H42" s="125" t="e">
        <f>H111+H24-H41</f>
        <v>#REF!</v>
      </c>
    </row>
    <row r="43" spans="1:8" ht="15" customHeight="1" x14ac:dyDescent="0.25">
      <c r="A43" s="155" t="s">
        <v>48</v>
      </c>
      <c r="B43" s="185"/>
      <c r="C43" s="152" t="s">
        <v>3</v>
      </c>
      <c r="D43" s="263" t="s">
        <v>314</v>
      </c>
      <c r="E43" s="249">
        <v>0</v>
      </c>
      <c r="F43" s="250">
        <v>0</v>
      </c>
      <c r="G43" s="203"/>
      <c r="H43" s="204"/>
    </row>
    <row r="44" spans="1:8" ht="15" customHeight="1" x14ac:dyDescent="0.2">
      <c r="A44" s="297" t="s">
        <v>373</v>
      </c>
      <c r="B44" s="304"/>
      <c r="C44" s="298" t="s">
        <v>3</v>
      </c>
      <c r="D44" s="263" t="s">
        <v>256</v>
      </c>
      <c r="E44" s="239">
        <v>2E-3</v>
      </c>
      <c r="F44" s="200">
        <f>E44*$B$75</f>
        <v>0</v>
      </c>
      <c r="G44" s="203"/>
      <c r="H44" s="204"/>
    </row>
    <row r="45" spans="1:8" ht="15.75" customHeight="1" x14ac:dyDescent="0.25">
      <c r="A45" s="155" t="s">
        <v>50</v>
      </c>
      <c r="B45" s="185"/>
      <c r="C45" s="152" t="s">
        <v>3</v>
      </c>
      <c r="D45" s="264" t="s">
        <v>222</v>
      </c>
      <c r="E45" s="319">
        <v>5.2999999999999999E-2</v>
      </c>
      <c r="F45" s="175">
        <f>$B$74*E45</f>
        <v>0</v>
      </c>
      <c r="G45" s="203"/>
      <c r="H45" s="204"/>
    </row>
    <row r="46" spans="1:8" ht="15.75" customHeight="1" x14ac:dyDescent="0.25">
      <c r="A46" s="155" t="s">
        <v>61</v>
      </c>
      <c r="B46" s="185"/>
      <c r="C46" s="152" t="s">
        <v>3</v>
      </c>
      <c r="D46" s="265" t="s">
        <v>375</v>
      </c>
      <c r="E46" s="167"/>
      <c r="F46" s="171">
        <f>SUM(F41:F45)</f>
        <v>0</v>
      </c>
      <c r="G46" s="203"/>
      <c r="H46" s="204"/>
    </row>
    <row r="47" spans="1:8" ht="15.75" customHeight="1" x14ac:dyDescent="0.25">
      <c r="A47" s="155" t="s">
        <v>224</v>
      </c>
      <c r="B47" s="185"/>
      <c r="C47" s="152" t="s">
        <v>3</v>
      </c>
      <c r="D47" s="270" t="s">
        <v>388</v>
      </c>
      <c r="E47" s="166"/>
      <c r="F47" s="172">
        <f>F37-F46</f>
        <v>0</v>
      </c>
      <c r="G47" s="203"/>
      <c r="H47" s="204"/>
    </row>
    <row r="48" spans="1:8" ht="18" customHeight="1" x14ac:dyDescent="0.25">
      <c r="A48" s="155" t="s">
        <v>140</v>
      </c>
      <c r="B48" s="185"/>
      <c r="C48" s="152" t="s">
        <v>3</v>
      </c>
      <c r="D48" s="271" t="s">
        <v>293</v>
      </c>
      <c r="E48" s="241"/>
      <c r="F48" s="255">
        <f>IF($B$76&gt;354211,0,IF(($B$76+F47)&lt;0,0,IF(($B$76+F47)&lt;93000,(F47*0.22)/(1-0.397),IF(AND(($B$76+F47)&gt;93000,($B$76+F47)&lt;354211),IF($B$76&lt;93000,((93000-$B$76)*0.22)/(1-0.397),(F47*0.38*0.22)/(1-0.397)),IF(AND($B$76&lt;354211,($B$76+F47)&gt;354211),((354211-$B$76)*0.38*0.22)/(1-0.397))))))</f>
        <v>0</v>
      </c>
      <c r="G48" s="203"/>
      <c r="H48" s="204"/>
    </row>
    <row r="49" spans="1:12" ht="18.75" customHeight="1" x14ac:dyDescent="0.25">
      <c r="A49" s="158" t="s">
        <v>67</v>
      </c>
      <c r="B49" s="160"/>
      <c r="C49" s="252"/>
      <c r="D49" s="272" t="s">
        <v>326</v>
      </c>
      <c r="E49" s="173"/>
      <c r="F49" s="256">
        <f>F47+F48</f>
        <v>0</v>
      </c>
      <c r="G49" s="2"/>
      <c r="H49" s="127"/>
    </row>
    <row r="50" spans="1:12" ht="17.25" customHeight="1" thickBot="1" x14ac:dyDescent="0.3">
      <c r="A50" s="155" t="s">
        <v>4</v>
      </c>
      <c r="B50" s="184"/>
      <c r="C50" s="152" t="s">
        <v>5</v>
      </c>
      <c r="D50" s="273" t="s">
        <v>276</v>
      </c>
      <c r="E50" s="274"/>
      <c r="F50" s="275" t="str">
        <f>IF($B$77="","",$F$49/$B$77)</f>
        <v/>
      </c>
      <c r="H50" s="128"/>
      <c r="J50" s="101"/>
      <c r="K50" s="101"/>
      <c r="L50" s="101"/>
    </row>
    <row r="51" spans="1:12" ht="15.75" customHeight="1" x14ac:dyDescent="0.25">
      <c r="A51" s="155" t="s">
        <v>187</v>
      </c>
      <c r="B51" s="184"/>
      <c r="C51" s="152" t="s">
        <v>5</v>
      </c>
      <c r="D51" s="258" t="s">
        <v>325</v>
      </c>
      <c r="E51" s="253"/>
      <c r="F51" s="254"/>
      <c r="H51" s="128"/>
    </row>
    <row r="52" spans="1:12" ht="18" customHeight="1" x14ac:dyDescent="0.25">
      <c r="A52" s="155" t="s">
        <v>6</v>
      </c>
      <c r="B52" s="184"/>
      <c r="C52" s="152" t="s">
        <v>5</v>
      </c>
      <c r="D52" s="259" t="s">
        <v>63</v>
      </c>
      <c r="F52" s="141"/>
      <c r="H52" s="128"/>
    </row>
    <row r="53" spans="1:12" ht="18" customHeight="1" x14ac:dyDescent="0.25">
      <c r="A53" s="155" t="s">
        <v>64</v>
      </c>
      <c r="B53" s="184"/>
      <c r="C53" s="152" t="s">
        <v>5</v>
      </c>
      <c r="D53" s="259"/>
      <c r="F53" s="134"/>
      <c r="H53" s="128"/>
    </row>
    <row r="54" spans="1:12" ht="18" customHeight="1" x14ac:dyDescent="0.25">
      <c r="A54" s="155" t="s">
        <v>399</v>
      </c>
      <c r="B54" s="184"/>
      <c r="C54" s="152" t="s">
        <v>291</v>
      </c>
      <c r="D54" s="259" t="s">
        <v>385</v>
      </c>
      <c r="E54" s="320"/>
      <c r="F54" s="134"/>
      <c r="H54" s="128"/>
    </row>
    <row r="55" spans="1:12" ht="18" customHeight="1" x14ac:dyDescent="0.25">
      <c r="A55" s="155" t="s">
        <v>400</v>
      </c>
      <c r="B55" s="184"/>
      <c r="C55" s="152" t="s">
        <v>291</v>
      </c>
      <c r="D55" s="321" t="s">
        <v>376</v>
      </c>
      <c r="E55" s="320"/>
      <c r="F55" s="134"/>
      <c r="H55" s="128"/>
    </row>
    <row r="56" spans="1:12" ht="18" customHeight="1" thickBot="1" x14ac:dyDescent="0.3">
      <c r="A56" s="155" t="s">
        <v>292</v>
      </c>
      <c r="B56" s="184"/>
      <c r="C56" s="152" t="s">
        <v>5</v>
      </c>
      <c r="D56" s="276"/>
      <c r="E56" s="129"/>
      <c r="F56" s="197"/>
      <c r="H56" s="128"/>
    </row>
    <row r="57" spans="1:12" ht="18" customHeight="1" x14ac:dyDescent="0.25">
      <c r="A57" s="155" t="s">
        <v>335</v>
      </c>
      <c r="B57" s="184"/>
      <c r="C57" s="152" t="s">
        <v>291</v>
      </c>
      <c r="H57" s="128"/>
    </row>
    <row r="58" spans="1:12" ht="18" customHeight="1" x14ac:dyDescent="0.25">
      <c r="A58" s="155" t="s">
        <v>10</v>
      </c>
      <c r="B58" s="184"/>
      <c r="C58" s="152" t="s">
        <v>5</v>
      </c>
      <c r="H58" s="128"/>
    </row>
    <row r="59" spans="1:12" ht="18" customHeight="1" x14ac:dyDescent="0.25">
      <c r="A59" s="155" t="s">
        <v>11</v>
      </c>
      <c r="B59" s="184"/>
      <c r="C59" s="152" t="s">
        <v>5</v>
      </c>
      <c r="D59" s="1"/>
      <c r="E59" s="1"/>
      <c r="F59" s="1"/>
      <c r="H59" s="128"/>
    </row>
    <row r="60" spans="1:12" ht="18" customHeight="1" x14ac:dyDescent="0.25">
      <c r="A60" s="155" t="s">
        <v>126</v>
      </c>
      <c r="B60" s="184"/>
      <c r="C60" s="152" t="s">
        <v>5</v>
      </c>
      <c r="D60" s="1"/>
      <c r="E60" s="1"/>
      <c r="F60" s="1"/>
      <c r="H60" s="128"/>
    </row>
    <row r="61" spans="1:12" ht="18" customHeight="1" x14ac:dyDescent="0.25">
      <c r="A61" s="155" t="s">
        <v>288</v>
      </c>
      <c r="B61" s="184"/>
      <c r="C61" s="152" t="s">
        <v>289</v>
      </c>
      <c r="D61" s="1"/>
      <c r="E61" s="1"/>
      <c r="F61" s="1"/>
      <c r="H61" s="128"/>
    </row>
    <row r="62" spans="1:12" ht="18" customHeight="1" x14ac:dyDescent="0.25">
      <c r="A62" s="155" t="s">
        <v>290</v>
      </c>
      <c r="B62" s="184"/>
      <c r="C62" s="152" t="s">
        <v>291</v>
      </c>
      <c r="D62" s="1"/>
      <c r="E62" s="1"/>
      <c r="F62" s="1"/>
      <c r="H62" s="128"/>
    </row>
    <row r="63" spans="1:12" ht="21" customHeight="1" x14ac:dyDescent="0.25">
      <c r="A63" s="155" t="s">
        <v>114</v>
      </c>
      <c r="B63" s="184"/>
      <c r="C63" s="152" t="s">
        <v>291</v>
      </c>
      <c r="D63" s="1"/>
      <c r="E63" s="1"/>
      <c r="F63" s="1"/>
      <c r="H63" s="128"/>
    </row>
    <row r="64" spans="1:12" ht="18" customHeight="1" x14ac:dyDescent="0.25">
      <c r="A64" s="155" t="s">
        <v>205</v>
      </c>
      <c r="B64" s="184"/>
      <c r="C64" s="152" t="s">
        <v>5</v>
      </c>
      <c r="D64" s="1"/>
      <c r="E64" s="1"/>
      <c r="F64" s="1"/>
      <c r="H64" s="128"/>
    </row>
    <row r="65" spans="1:8" ht="18" customHeight="1" x14ac:dyDescent="0.25">
      <c r="A65" s="156" t="s">
        <v>235</v>
      </c>
      <c r="B65" s="235"/>
      <c r="C65" s="154" t="s">
        <v>247</v>
      </c>
      <c r="D65" s="1"/>
      <c r="E65" s="1"/>
      <c r="F65" s="1"/>
      <c r="H65" s="128"/>
    </row>
    <row r="66" spans="1:8" ht="18" customHeight="1" x14ac:dyDescent="0.25">
      <c r="A66" s="155" t="s">
        <v>248</v>
      </c>
      <c r="B66" s="184"/>
      <c r="C66" s="152" t="s">
        <v>5</v>
      </c>
      <c r="D66" s="1"/>
      <c r="E66" s="1"/>
      <c r="F66" s="1"/>
      <c r="H66" s="128"/>
    </row>
    <row r="67" spans="1:8" ht="15.75" customHeight="1" x14ac:dyDescent="0.25">
      <c r="A67" s="156" t="s">
        <v>249</v>
      </c>
      <c r="B67" s="235"/>
      <c r="C67" s="154" t="s">
        <v>5</v>
      </c>
      <c r="D67" s="1"/>
      <c r="E67" s="1"/>
      <c r="F67" s="1"/>
      <c r="H67" s="128"/>
    </row>
    <row r="68" spans="1:8" ht="16.5" customHeight="1" x14ac:dyDescent="0.25">
      <c r="A68" s="155" t="s">
        <v>236</v>
      </c>
      <c r="B68" s="184"/>
      <c r="C68" s="152" t="s">
        <v>5</v>
      </c>
      <c r="D68" s="1"/>
      <c r="E68" s="1"/>
      <c r="F68" s="1"/>
      <c r="H68" s="128"/>
    </row>
    <row r="69" spans="1:8" ht="15.75" customHeight="1" x14ac:dyDescent="0.25">
      <c r="A69" s="156" t="s">
        <v>237</v>
      </c>
      <c r="B69" s="235"/>
      <c r="C69" s="154" t="s">
        <v>5</v>
      </c>
      <c r="D69" s="1"/>
      <c r="E69" s="1"/>
      <c r="F69" s="1"/>
      <c r="H69" s="128"/>
    </row>
    <row r="70" spans="1:8" ht="17.25" customHeight="1" x14ac:dyDescent="0.25">
      <c r="A70" s="187" t="s">
        <v>274</v>
      </c>
      <c r="B70" s="305"/>
      <c r="C70" s="189"/>
      <c r="D70" s="1"/>
      <c r="E70" s="1"/>
      <c r="F70" s="1"/>
      <c r="H70" s="128"/>
    </row>
    <row r="71" spans="1:8" ht="18.75" customHeight="1" x14ac:dyDescent="0.25">
      <c r="A71" s="188" t="s">
        <v>363</v>
      </c>
      <c r="B71" s="161"/>
      <c r="C71" s="189" t="s">
        <v>364</v>
      </c>
      <c r="D71" s="1"/>
      <c r="E71" s="1"/>
      <c r="F71" s="1"/>
      <c r="H71" s="128"/>
    </row>
    <row r="72" spans="1:8" ht="18.75" customHeight="1" x14ac:dyDescent="0.25">
      <c r="A72" s="188" t="s">
        <v>365</v>
      </c>
      <c r="B72" s="161"/>
      <c r="C72" s="189" t="s">
        <v>364</v>
      </c>
      <c r="D72" s="1"/>
      <c r="E72" s="1"/>
      <c r="F72" s="1"/>
      <c r="H72" s="128"/>
    </row>
    <row r="73" spans="1:8" ht="18.75" customHeight="1" thickBot="1" x14ac:dyDescent="0.3">
      <c r="A73" s="188" t="s">
        <v>404</v>
      </c>
      <c r="B73" s="161"/>
      <c r="C73" s="189" t="s">
        <v>366</v>
      </c>
      <c r="D73" s="1"/>
      <c r="E73" s="1"/>
      <c r="F73" s="1"/>
      <c r="H73" s="128"/>
    </row>
    <row r="74" spans="1:8" ht="28.5" customHeight="1" thickBot="1" x14ac:dyDescent="0.3">
      <c r="A74" s="277" t="s">
        <v>316</v>
      </c>
      <c r="B74" s="278"/>
      <c r="C74" s="279" t="s">
        <v>199</v>
      </c>
      <c r="D74" s="1"/>
      <c r="E74" s="1"/>
      <c r="F74" s="1"/>
      <c r="H74" s="128"/>
    </row>
    <row r="75" spans="1:8" ht="20.25" customHeight="1" x14ac:dyDescent="0.25">
      <c r="A75" s="188" t="s">
        <v>271</v>
      </c>
      <c r="B75" s="161"/>
      <c r="C75" s="189" t="s">
        <v>54</v>
      </c>
      <c r="D75" s="1"/>
      <c r="E75" s="1"/>
      <c r="F75" s="1"/>
      <c r="H75" s="128"/>
    </row>
    <row r="76" spans="1:8" ht="18.75" customHeight="1" x14ac:dyDescent="0.25">
      <c r="A76" s="188" t="s">
        <v>367</v>
      </c>
      <c r="B76" s="161"/>
      <c r="C76" s="189" t="s">
        <v>54</v>
      </c>
      <c r="D76" s="1"/>
      <c r="E76" s="1"/>
      <c r="F76" s="1"/>
      <c r="H76" s="128"/>
    </row>
    <row r="77" spans="1:8" ht="18.75" customHeight="1" thickBot="1" x14ac:dyDescent="0.3">
      <c r="A77" s="306" t="s">
        <v>272</v>
      </c>
      <c r="B77" s="307"/>
      <c r="C77" s="308" t="s">
        <v>273</v>
      </c>
      <c r="D77" s="1"/>
      <c r="E77" s="1"/>
      <c r="F77" s="1"/>
      <c r="H77" s="128"/>
    </row>
    <row r="103" spans="4:8" x14ac:dyDescent="0.2">
      <c r="D103" s="142"/>
    </row>
    <row r="106" spans="4:8" ht="17.25" customHeight="1" x14ac:dyDescent="0.2">
      <c r="G106" s="2"/>
      <c r="H106" s="127"/>
    </row>
    <row r="107" spans="4:8" ht="17.25" customHeight="1" x14ac:dyDescent="0.2">
      <c r="G107" s="2"/>
      <c r="H107" s="127"/>
    </row>
    <row r="108" spans="4:8" ht="17.25" customHeight="1" x14ac:dyDescent="0.2">
      <c r="G108" s="1"/>
      <c r="H108" s="127"/>
    </row>
    <row r="109" spans="4:8" ht="17.25" customHeight="1" x14ac:dyDescent="0.2">
      <c r="G109" s="1"/>
      <c r="H109" s="127"/>
    </row>
    <row r="110" spans="4:8" ht="15.75" customHeight="1" x14ac:dyDescent="0.2">
      <c r="G110" s="118"/>
      <c r="H110" s="109">
        <v>500</v>
      </c>
    </row>
    <row r="111" spans="4:8" ht="15.75" customHeight="1" x14ac:dyDescent="0.2">
      <c r="G111" s="122"/>
      <c r="H111" s="121" t="e">
        <f>SUM(H27:H110)</f>
        <v>#REF!</v>
      </c>
    </row>
    <row r="112" spans="4:8" ht="15.75" customHeight="1" x14ac:dyDescent="0.2">
      <c r="G112" s="288"/>
      <c r="H112" s="289"/>
    </row>
    <row r="119" spans="7:8" ht="17.25" customHeight="1" x14ac:dyDescent="0.2">
      <c r="H119" s="128"/>
    </row>
    <row r="120" spans="7:8" ht="17.25" customHeight="1" x14ac:dyDescent="0.2">
      <c r="H120" s="128"/>
    </row>
    <row r="121" spans="7:8" ht="17.25" customHeight="1" x14ac:dyDescent="0.2">
      <c r="H121" s="128"/>
    </row>
    <row r="122" spans="7:8" ht="17.25" customHeight="1" x14ac:dyDescent="0.2">
      <c r="H122" s="128"/>
    </row>
    <row r="123" spans="7:8" ht="15.75" customHeight="1" x14ac:dyDescent="0.2">
      <c r="H123" s="128"/>
    </row>
    <row r="124" spans="7:8" ht="15.75" customHeight="1" x14ac:dyDescent="0.2">
      <c r="H124" s="128"/>
    </row>
    <row r="125" spans="7:8" ht="15.75" customHeight="1" x14ac:dyDescent="0.2">
      <c r="H125" s="128"/>
    </row>
    <row r="126" spans="7:8" ht="15.75" customHeight="1" x14ac:dyDescent="0.2">
      <c r="H126" s="128"/>
    </row>
    <row r="127" spans="7:8" ht="15.75" customHeight="1" x14ac:dyDescent="0.2">
      <c r="H127" s="128"/>
    </row>
    <row r="128" spans="7:8" ht="15.75" customHeight="1" x14ac:dyDescent="0.2">
      <c r="G128" s="118" t="s">
        <v>163</v>
      </c>
      <c r="H128" s="109" t="e">
        <f>#REF!*0+#REF!*0</f>
        <v>#REF!</v>
      </c>
    </row>
    <row r="129" spans="7:8" ht="15.75" customHeight="1" x14ac:dyDescent="0.2">
      <c r="H129" s="128"/>
    </row>
    <row r="130" spans="7:8" ht="12.75" customHeight="1" x14ac:dyDescent="0.2">
      <c r="G130" s="108">
        <v>0</v>
      </c>
      <c r="H130" s="109" t="e">
        <f>#REF!*G130</f>
        <v>#REF!</v>
      </c>
    </row>
    <row r="131" spans="7:8" ht="16.5" customHeight="1" x14ac:dyDescent="0.2">
      <c r="G131" s="108">
        <v>-0.8</v>
      </c>
      <c r="H131" s="109">
        <f>B22*G131</f>
        <v>0</v>
      </c>
    </row>
    <row r="132" spans="7:8" ht="12.75" customHeight="1" x14ac:dyDescent="0.2">
      <c r="G132" s="108">
        <v>3</v>
      </c>
      <c r="H132" s="109">
        <f>B23*G132</f>
        <v>0</v>
      </c>
    </row>
    <row r="151" spans="1:3" x14ac:dyDescent="0.2">
      <c r="A151" s="190"/>
      <c r="B151" s="190"/>
      <c r="C151" s="190"/>
    </row>
    <row r="152" spans="1:3" x14ac:dyDescent="0.2">
      <c r="A152" s="190"/>
      <c r="B152" s="190"/>
      <c r="C152" s="190"/>
    </row>
    <row r="153" spans="1:3" x14ac:dyDescent="0.2">
      <c r="A153" s="190"/>
      <c r="B153" s="190"/>
      <c r="C153" s="190"/>
    </row>
    <row r="154" spans="1:3" x14ac:dyDescent="0.2">
      <c r="A154" s="190"/>
      <c r="B154" s="190"/>
      <c r="C154" s="190"/>
    </row>
    <row r="155" spans="1:3" x14ac:dyDescent="0.2">
      <c r="A155" s="190"/>
      <c r="B155" s="190"/>
      <c r="C155" s="190"/>
    </row>
    <row r="156" spans="1:3" x14ac:dyDescent="0.2">
      <c r="A156" s="190"/>
      <c r="B156" s="190"/>
      <c r="C156" s="190"/>
    </row>
    <row r="157" spans="1:3" x14ac:dyDescent="0.2">
      <c r="A157" s="190"/>
      <c r="B157" s="190"/>
      <c r="C157" s="190"/>
    </row>
    <row r="158" spans="1:3" x14ac:dyDescent="0.2">
      <c r="A158" s="190"/>
      <c r="B158" s="190"/>
      <c r="C158" s="190"/>
    </row>
    <row r="159" spans="1:3" x14ac:dyDescent="0.2">
      <c r="A159" s="190"/>
      <c r="B159" s="190"/>
      <c r="C159" s="190"/>
    </row>
    <row r="160" spans="1:3" x14ac:dyDescent="0.2">
      <c r="A160" s="190"/>
      <c r="B160" s="190"/>
      <c r="C160" s="190"/>
    </row>
    <row r="161" spans="1:3" x14ac:dyDescent="0.2">
      <c r="A161" s="190"/>
      <c r="B161" s="190"/>
      <c r="C161" s="190"/>
    </row>
    <row r="162" spans="1:3" x14ac:dyDescent="0.2">
      <c r="A162" s="190"/>
      <c r="B162" s="190"/>
      <c r="C162" s="190"/>
    </row>
    <row r="163" spans="1:3" x14ac:dyDescent="0.2">
      <c r="A163" s="190"/>
      <c r="B163" s="190"/>
      <c r="C163" s="190"/>
    </row>
    <row r="164" spans="1:3" x14ac:dyDescent="0.2">
      <c r="A164" s="190"/>
      <c r="B164" s="190"/>
      <c r="C164" s="190"/>
    </row>
    <row r="165" spans="1:3" x14ac:dyDescent="0.2">
      <c r="A165" s="190"/>
      <c r="B165" s="190"/>
      <c r="C165" s="190"/>
    </row>
    <row r="166" spans="1:3" x14ac:dyDescent="0.2">
      <c r="A166" s="190"/>
      <c r="B166" s="190"/>
      <c r="C166" s="190"/>
    </row>
    <row r="167" spans="1:3" x14ac:dyDescent="0.2">
      <c r="A167" s="190"/>
      <c r="B167" s="190"/>
      <c r="C167" s="190"/>
    </row>
    <row r="168" spans="1:3" x14ac:dyDescent="0.2">
      <c r="A168" s="190"/>
      <c r="B168" s="190"/>
      <c r="C168" s="190"/>
    </row>
    <row r="169" spans="1:3" x14ac:dyDescent="0.2">
      <c r="A169" s="190"/>
      <c r="B169" s="190"/>
      <c r="C169" s="190"/>
    </row>
    <row r="170" spans="1:3" x14ac:dyDescent="0.2">
      <c r="A170" s="190"/>
      <c r="B170" s="190"/>
      <c r="C170" s="190"/>
    </row>
    <row r="171" spans="1:3" x14ac:dyDescent="0.2">
      <c r="A171" s="190"/>
      <c r="B171" s="190"/>
      <c r="C171" s="190"/>
    </row>
    <row r="172" spans="1:3" x14ac:dyDescent="0.2">
      <c r="A172" s="190"/>
      <c r="B172" s="190"/>
      <c r="C172" s="190"/>
    </row>
    <row r="173" spans="1:3" x14ac:dyDescent="0.2">
      <c r="A173" s="190"/>
      <c r="B173" s="190"/>
      <c r="C173" s="190"/>
    </row>
    <row r="174" spans="1:3" x14ac:dyDescent="0.2">
      <c r="A174" s="190"/>
      <c r="B174" s="190"/>
      <c r="C174" s="190"/>
    </row>
    <row r="175" spans="1:3" x14ac:dyDescent="0.2">
      <c r="A175" s="190"/>
      <c r="B175" s="190"/>
      <c r="C175" s="190"/>
    </row>
    <row r="176" spans="1:3" x14ac:dyDescent="0.2">
      <c r="A176" s="190"/>
      <c r="B176" s="190"/>
      <c r="C176" s="190"/>
    </row>
    <row r="177" spans="1:3" x14ac:dyDescent="0.2">
      <c r="A177" s="190"/>
      <c r="B177" s="190"/>
      <c r="C177" s="190"/>
    </row>
    <row r="178" spans="1:3" x14ac:dyDescent="0.2">
      <c r="A178" s="190"/>
      <c r="B178" s="190"/>
      <c r="C178" s="190"/>
    </row>
    <row r="179" spans="1:3" x14ac:dyDescent="0.2">
      <c r="A179" s="190"/>
      <c r="B179" s="190"/>
      <c r="C179" s="190"/>
    </row>
    <row r="180" spans="1:3" x14ac:dyDescent="0.2">
      <c r="A180" s="190"/>
      <c r="B180" s="190"/>
      <c r="C180" s="190"/>
    </row>
    <row r="181" spans="1:3" x14ac:dyDescent="0.2">
      <c r="A181" s="190"/>
      <c r="B181" s="190"/>
      <c r="C181" s="190"/>
    </row>
    <row r="182" spans="1:3" x14ac:dyDescent="0.2">
      <c r="A182" s="190"/>
      <c r="B182" s="190"/>
      <c r="C182" s="190"/>
    </row>
    <row r="183" spans="1:3" x14ac:dyDescent="0.2">
      <c r="A183" s="190"/>
      <c r="B183" s="190"/>
      <c r="C183" s="190"/>
    </row>
    <row r="184" spans="1:3" x14ac:dyDescent="0.2">
      <c r="A184" s="190"/>
      <c r="B184" s="190"/>
      <c r="C184" s="190"/>
    </row>
    <row r="185" spans="1:3" x14ac:dyDescent="0.2">
      <c r="A185" s="190"/>
      <c r="B185" s="190"/>
      <c r="C185" s="190"/>
    </row>
    <row r="186" spans="1:3" x14ac:dyDescent="0.2">
      <c r="A186" s="190"/>
      <c r="B186" s="190"/>
      <c r="C186" s="190"/>
    </row>
    <row r="187" spans="1:3" x14ac:dyDescent="0.2">
      <c r="A187" s="190"/>
      <c r="B187" s="190"/>
      <c r="C187" s="190"/>
    </row>
    <row r="188" spans="1:3" x14ac:dyDescent="0.2">
      <c r="A188" s="190"/>
      <c r="B188" s="190"/>
      <c r="C188" s="190"/>
    </row>
    <row r="189" spans="1:3" x14ac:dyDescent="0.2">
      <c r="A189" s="190"/>
      <c r="B189" s="190"/>
      <c r="C189" s="190"/>
    </row>
    <row r="190" spans="1:3" x14ac:dyDescent="0.2">
      <c r="A190" s="190"/>
      <c r="B190" s="190"/>
      <c r="C190" s="190"/>
    </row>
    <row r="191" spans="1:3" x14ac:dyDescent="0.2">
      <c r="A191" s="190"/>
      <c r="B191" s="190"/>
      <c r="C191" s="190"/>
    </row>
    <row r="192" spans="1:3" x14ac:dyDescent="0.2">
      <c r="A192" s="190"/>
      <c r="B192" s="190"/>
      <c r="C192" s="190"/>
    </row>
    <row r="193" spans="1:3" x14ac:dyDescent="0.2">
      <c r="A193" s="190"/>
      <c r="B193" s="190"/>
      <c r="C193" s="190"/>
    </row>
    <row r="194" spans="1:3" x14ac:dyDescent="0.2">
      <c r="A194" s="190"/>
      <c r="B194" s="190"/>
      <c r="C194" s="190"/>
    </row>
    <row r="195" spans="1:3" x14ac:dyDescent="0.2">
      <c r="A195" s="190"/>
      <c r="B195" s="190"/>
      <c r="C195" s="190"/>
    </row>
    <row r="196" spans="1:3" x14ac:dyDescent="0.2">
      <c r="A196" s="190"/>
      <c r="B196" s="190"/>
      <c r="C196" s="190"/>
    </row>
    <row r="197" spans="1:3" x14ac:dyDescent="0.2">
      <c r="A197" s="190"/>
      <c r="B197" s="190"/>
      <c r="C197" s="190"/>
    </row>
    <row r="198" spans="1:3" x14ac:dyDescent="0.2">
      <c r="A198" s="190"/>
      <c r="B198" s="190"/>
      <c r="C198" s="190"/>
    </row>
    <row r="199" spans="1:3" x14ac:dyDescent="0.2">
      <c r="A199" s="190"/>
      <c r="B199" s="190"/>
      <c r="C199" s="190"/>
    </row>
    <row r="200" spans="1:3" x14ac:dyDescent="0.2">
      <c r="A200" s="190"/>
      <c r="B200" s="190"/>
      <c r="C200" s="190"/>
    </row>
    <row r="201" spans="1:3" x14ac:dyDescent="0.2">
      <c r="A201" s="190"/>
      <c r="B201" s="190"/>
      <c r="C201" s="190"/>
    </row>
    <row r="202" spans="1:3" x14ac:dyDescent="0.2">
      <c r="A202" s="190"/>
      <c r="B202" s="190"/>
      <c r="C202" s="190"/>
    </row>
    <row r="203" spans="1:3" x14ac:dyDescent="0.2">
      <c r="A203" s="190"/>
      <c r="B203" s="190"/>
      <c r="C203" s="190"/>
    </row>
    <row r="204" spans="1:3" x14ac:dyDescent="0.2">
      <c r="A204" s="190"/>
      <c r="B204" s="190"/>
      <c r="C204" s="190"/>
    </row>
    <row r="205" spans="1:3" x14ac:dyDescent="0.2">
      <c r="A205" s="190"/>
      <c r="B205" s="190"/>
      <c r="C205" s="190"/>
    </row>
    <row r="206" spans="1:3" x14ac:dyDescent="0.2">
      <c r="A206" s="190"/>
      <c r="B206" s="190"/>
      <c r="C206" s="190"/>
    </row>
    <row r="207" spans="1:3" x14ac:dyDescent="0.2">
      <c r="A207" s="190"/>
      <c r="B207" s="190"/>
      <c r="C207" s="190"/>
    </row>
    <row r="208" spans="1:3" x14ac:dyDescent="0.2">
      <c r="A208" s="190"/>
      <c r="B208" s="190"/>
      <c r="C208" s="190"/>
    </row>
    <row r="209" spans="1:3" x14ac:dyDescent="0.2">
      <c r="A209" s="190"/>
      <c r="B209" s="190"/>
      <c r="C209" s="190"/>
    </row>
    <row r="210" spans="1:3" x14ac:dyDescent="0.2">
      <c r="A210" s="190"/>
      <c r="B210" s="190"/>
      <c r="C210" s="190"/>
    </row>
    <row r="211" spans="1:3" x14ac:dyDescent="0.2">
      <c r="A211" s="190"/>
      <c r="B211" s="190"/>
      <c r="C211" s="190"/>
    </row>
    <row r="212" spans="1:3" x14ac:dyDescent="0.2">
      <c r="A212" s="190"/>
      <c r="B212" s="190"/>
      <c r="C212" s="190"/>
    </row>
    <row r="213" spans="1:3" x14ac:dyDescent="0.2">
      <c r="A213" s="190"/>
      <c r="B213" s="190"/>
      <c r="C213" s="190"/>
    </row>
    <row r="214" spans="1:3" x14ac:dyDescent="0.2">
      <c r="A214" s="190"/>
      <c r="B214" s="190"/>
      <c r="C214" s="190"/>
    </row>
    <row r="215" spans="1:3" x14ac:dyDescent="0.2">
      <c r="A215" s="190"/>
      <c r="B215" s="190"/>
      <c r="C215" s="190"/>
    </row>
    <row r="216" spans="1:3" x14ac:dyDescent="0.2">
      <c r="A216" s="190"/>
      <c r="B216" s="190"/>
      <c r="C216" s="190"/>
    </row>
    <row r="217" spans="1:3" x14ac:dyDescent="0.2">
      <c r="A217" s="190"/>
      <c r="B217" s="190"/>
      <c r="C217" s="190"/>
    </row>
    <row r="218" spans="1:3" x14ac:dyDescent="0.2">
      <c r="A218" s="190"/>
      <c r="B218" s="190"/>
      <c r="C218" s="190"/>
    </row>
    <row r="219" spans="1:3" x14ac:dyDescent="0.2">
      <c r="A219" s="190"/>
      <c r="B219" s="190"/>
      <c r="C219" s="190"/>
    </row>
    <row r="220" spans="1:3" x14ac:dyDescent="0.2">
      <c r="A220" s="190"/>
      <c r="B220" s="190"/>
      <c r="C220" s="190"/>
    </row>
    <row r="221" spans="1:3" x14ac:dyDescent="0.2">
      <c r="A221" s="190"/>
      <c r="B221" s="190"/>
      <c r="C221" s="190"/>
    </row>
    <row r="222" spans="1:3" x14ac:dyDescent="0.2">
      <c r="A222" s="190"/>
      <c r="B222" s="190"/>
      <c r="C222" s="190"/>
    </row>
    <row r="223" spans="1:3" x14ac:dyDescent="0.2">
      <c r="A223" s="190"/>
      <c r="B223" s="190"/>
      <c r="C223" s="190"/>
    </row>
    <row r="224" spans="1:3" x14ac:dyDescent="0.2">
      <c r="A224" s="190"/>
      <c r="B224" s="190"/>
      <c r="C224" s="190"/>
    </row>
    <row r="225" spans="1:3" x14ac:dyDescent="0.2">
      <c r="A225" s="190"/>
      <c r="B225" s="190"/>
      <c r="C225" s="190"/>
    </row>
    <row r="226" spans="1:3" x14ac:dyDescent="0.2">
      <c r="A226" s="190"/>
      <c r="B226" s="190"/>
      <c r="C226" s="190"/>
    </row>
    <row r="227" spans="1:3" x14ac:dyDescent="0.2">
      <c r="A227" s="190"/>
      <c r="B227" s="190"/>
      <c r="C227" s="190"/>
    </row>
    <row r="228" spans="1:3" x14ac:dyDescent="0.2">
      <c r="A228" s="190"/>
      <c r="B228" s="190"/>
      <c r="C228" s="190"/>
    </row>
    <row r="229" spans="1:3" x14ac:dyDescent="0.2">
      <c r="A229" s="190"/>
      <c r="B229" s="190"/>
      <c r="C229" s="190"/>
    </row>
    <row r="230" spans="1:3" x14ac:dyDescent="0.2">
      <c r="A230" s="190"/>
      <c r="B230" s="190"/>
      <c r="C230" s="190"/>
    </row>
    <row r="231" spans="1:3" x14ac:dyDescent="0.2">
      <c r="A231" s="190"/>
      <c r="B231" s="190"/>
      <c r="C231" s="190"/>
    </row>
    <row r="232" spans="1:3" x14ac:dyDescent="0.2">
      <c r="A232" s="190"/>
      <c r="B232" s="190"/>
      <c r="C232" s="190"/>
    </row>
    <row r="233" spans="1:3" x14ac:dyDescent="0.2">
      <c r="A233" s="190"/>
      <c r="B233" s="190"/>
      <c r="C233" s="190"/>
    </row>
    <row r="234" spans="1:3" x14ac:dyDescent="0.2">
      <c r="A234" s="190"/>
      <c r="B234" s="190"/>
      <c r="C234" s="190"/>
    </row>
    <row r="235" spans="1:3" x14ac:dyDescent="0.2">
      <c r="A235" s="190"/>
      <c r="B235" s="190"/>
      <c r="C235" s="190"/>
    </row>
    <row r="236" spans="1:3" x14ac:dyDescent="0.2">
      <c r="A236" s="190"/>
      <c r="B236" s="190"/>
      <c r="C236" s="190"/>
    </row>
    <row r="237" spans="1:3" x14ac:dyDescent="0.2">
      <c r="A237" s="190"/>
      <c r="B237" s="190"/>
      <c r="C237" s="190"/>
    </row>
    <row r="238" spans="1:3" x14ac:dyDescent="0.2">
      <c r="A238" s="190"/>
      <c r="B238" s="190"/>
      <c r="C238" s="190"/>
    </row>
    <row r="239" spans="1:3" x14ac:dyDescent="0.2">
      <c r="A239" s="190"/>
      <c r="B239" s="190"/>
      <c r="C239" s="190"/>
    </row>
    <row r="240" spans="1:3" x14ac:dyDescent="0.2">
      <c r="A240" s="190"/>
      <c r="B240" s="190"/>
      <c r="C240" s="190"/>
    </row>
    <row r="241" spans="1:3" x14ac:dyDescent="0.2">
      <c r="A241" s="190"/>
      <c r="B241" s="190"/>
      <c r="C241" s="190"/>
    </row>
    <row r="242" spans="1:3" x14ac:dyDescent="0.2">
      <c r="A242" s="190"/>
      <c r="B242" s="190"/>
      <c r="C242" s="190"/>
    </row>
    <row r="243" spans="1:3" x14ac:dyDescent="0.2">
      <c r="A243" s="190"/>
      <c r="B243" s="190"/>
      <c r="C243" s="190"/>
    </row>
    <row r="244" spans="1:3" x14ac:dyDescent="0.2">
      <c r="A244" s="190"/>
      <c r="B244" s="190"/>
      <c r="C244" s="190"/>
    </row>
    <row r="245" spans="1:3" x14ac:dyDescent="0.2">
      <c r="A245" s="190"/>
      <c r="B245" s="190"/>
      <c r="C245" s="190"/>
    </row>
    <row r="246" spans="1:3" x14ac:dyDescent="0.2">
      <c r="A246" s="190"/>
      <c r="B246" s="190"/>
      <c r="C246" s="190"/>
    </row>
    <row r="247" spans="1:3" x14ac:dyDescent="0.2">
      <c r="A247" s="190"/>
      <c r="B247" s="190"/>
      <c r="C247" s="190"/>
    </row>
    <row r="248" spans="1:3" x14ac:dyDescent="0.2">
      <c r="A248" s="190"/>
      <c r="B248" s="190"/>
      <c r="C248" s="190"/>
    </row>
    <row r="249" spans="1:3" x14ac:dyDescent="0.2">
      <c r="A249" s="190"/>
      <c r="B249" s="190"/>
      <c r="C249" s="190"/>
    </row>
    <row r="250" spans="1:3" x14ac:dyDescent="0.2">
      <c r="A250" s="190"/>
      <c r="B250" s="190"/>
      <c r="C250" s="190"/>
    </row>
    <row r="251" spans="1:3" x14ac:dyDescent="0.2">
      <c r="A251" s="190"/>
      <c r="B251" s="190"/>
      <c r="C251" s="190"/>
    </row>
    <row r="252" spans="1:3" x14ac:dyDescent="0.2">
      <c r="A252" s="190"/>
      <c r="B252" s="190"/>
      <c r="C252" s="190"/>
    </row>
    <row r="253" spans="1:3" x14ac:dyDescent="0.2">
      <c r="A253" s="190"/>
      <c r="B253" s="190"/>
      <c r="C253" s="190"/>
    </row>
    <row r="254" spans="1:3" x14ac:dyDescent="0.2">
      <c r="A254" s="190"/>
      <c r="B254" s="190"/>
      <c r="C254" s="190"/>
    </row>
    <row r="255" spans="1:3" x14ac:dyDescent="0.2">
      <c r="A255" s="190"/>
      <c r="B255" s="190"/>
      <c r="C255" s="190"/>
    </row>
    <row r="256" spans="1:3" x14ac:dyDescent="0.2">
      <c r="A256" s="190"/>
      <c r="B256" s="190"/>
      <c r="C256" s="190"/>
    </row>
    <row r="257" spans="1:3" x14ac:dyDescent="0.2">
      <c r="A257" s="190"/>
      <c r="B257" s="190"/>
      <c r="C257" s="190"/>
    </row>
    <row r="258" spans="1:3" x14ac:dyDescent="0.2">
      <c r="A258" s="190"/>
      <c r="B258" s="190"/>
      <c r="C258" s="190"/>
    </row>
    <row r="259" spans="1:3" x14ac:dyDescent="0.2">
      <c r="A259" s="190"/>
      <c r="B259" s="190"/>
      <c r="C259" s="190"/>
    </row>
    <row r="260" spans="1:3" x14ac:dyDescent="0.2">
      <c r="A260" s="190"/>
      <c r="B260" s="190"/>
      <c r="C260" s="190"/>
    </row>
    <row r="261" spans="1:3" x14ac:dyDescent="0.2">
      <c r="A261" s="190"/>
      <c r="B261" s="190"/>
      <c r="C261" s="190"/>
    </row>
    <row r="262" spans="1:3" x14ac:dyDescent="0.2">
      <c r="A262" s="190"/>
      <c r="B262" s="190"/>
      <c r="C262" s="190"/>
    </row>
    <row r="263" spans="1:3" x14ac:dyDescent="0.2">
      <c r="A263" s="190"/>
      <c r="B263" s="190"/>
      <c r="C263" s="190"/>
    </row>
    <row r="264" spans="1:3" x14ac:dyDescent="0.2">
      <c r="A264" s="190"/>
      <c r="B264" s="190"/>
      <c r="C264" s="190"/>
    </row>
    <row r="265" spans="1:3" x14ac:dyDescent="0.2">
      <c r="A265" s="190"/>
      <c r="B265" s="190"/>
      <c r="C265" s="190"/>
    </row>
    <row r="266" spans="1:3" x14ac:dyDescent="0.2">
      <c r="A266" s="190"/>
      <c r="B266" s="190"/>
      <c r="C266" s="190"/>
    </row>
    <row r="267" spans="1:3" x14ac:dyDescent="0.2">
      <c r="A267" s="190"/>
      <c r="B267" s="190"/>
      <c r="C267" s="190"/>
    </row>
    <row r="268" spans="1:3" x14ac:dyDescent="0.2">
      <c r="A268" s="190"/>
      <c r="B268" s="190"/>
      <c r="C268" s="190"/>
    </row>
    <row r="269" spans="1:3" x14ac:dyDescent="0.2">
      <c r="A269" s="190"/>
      <c r="B269" s="190"/>
      <c r="C269" s="190"/>
    </row>
    <row r="270" spans="1:3" x14ac:dyDescent="0.2">
      <c r="A270" s="190"/>
      <c r="B270" s="190"/>
      <c r="C270" s="190"/>
    </row>
    <row r="271" spans="1:3" x14ac:dyDescent="0.2">
      <c r="A271" s="190"/>
      <c r="B271" s="190"/>
      <c r="C271" s="190"/>
    </row>
    <row r="272" spans="1:3" x14ac:dyDescent="0.2">
      <c r="A272" s="190"/>
      <c r="B272" s="190"/>
      <c r="C272" s="190"/>
    </row>
    <row r="273" spans="1:3" x14ac:dyDescent="0.2">
      <c r="A273" s="190"/>
      <c r="B273" s="190"/>
      <c r="C273" s="190"/>
    </row>
    <row r="274" spans="1:3" x14ac:dyDescent="0.2">
      <c r="A274" s="190"/>
      <c r="B274" s="190"/>
      <c r="C274" s="190"/>
    </row>
    <row r="275" spans="1:3" x14ac:dyDescent="0.2">
      <c r="A275" s="190"/>
      <c r="B275" s="190"/>
      <c r="C275" s="190"/>
    </row>
    <row r="276" spans="1:3" x14ac:dyDescent="0.2">
      <c r="A276" s="190"/>
      <c r="B276" s="190"/>
      <c r="C276" s="190"/>
    </row>
    <row r="277" spans="1:3" x14ac:dyDescent="0.2">
      <c r="A277" s="190"/>
      <c r="B277" s="190"/>
      <c r="C277" s="190"/>
    </row>
    <row r="278" spans="1:3" x14ac:dyDescent="0.2">
      <c r="A278" s="190"/>
      <c r="B278" s="190"/>
      <c r="C278" s="190"/>
    </row>
    <row r="279" spans="1:3" x14ac:dyDescent="0.2">
      <c r="A279" s="190"/>
      <c r="B279" s="190"/>
      <c r="C279" s="190"/>
    </row>
    <row r="280" spans="1:3" x14ac:dyDescent="0.2">
      <c r="A280" s="190"/>
      <c r="B280" s="190"/>
      <c r="C280" s="190"/>
    </row>
    <row r="281" spans="1:3" x14ac:dyDescent="0.2">
      <c r="A281" s="190"/>
      <c r="B281" s="190"/>
      <c r="C281" s="190"/>
    </row>
    <row r="282" spans="1:3" x14ac:dyDescent="0.2">
      <c r="A282" s="190"/>
      <c r="B282" s="190"/>
      <c r="C282" s="190"/>
    </row>
    <row r="283" spans="1:3" x14ac:dyDescent="0.2">
      <c r="A283" s="190"/>
      <c r="B283" s="190"/>
      <c r="C283" s="190"/>
    </row>
    <row r="284" spans="1:3" x14ac:dyDescent="0.2">
      <c r="A284" s="190"/>
      <c r="B284" s="190"/>
      <c r="C284" s="190"/>
    </row>
    <row r="285" spans="1:3" x14ac:dyDescent="0.2">
      <c r="A285" s="190"/>
      <c r="B285" s="190"/>
      <c r="C285" s="190"/>
    </row>
    <row r="286" spans="1:3" x14ac:dyDescent="0.2">
      <c r="A286" s="190"/>
      <c r="B286" s="190"/>
      <c r="C286" s="190"/>
    </row>
    <row r="287" spans="1:3" x14ac:dyDescent="0.2">
      <c r="A287" s="190"/>
      <c r="B287" s="190"/>
      <c r="C287" s="190"/>
    </row>
    <row r="288" spans="1:3" x14ac:dyDescent="0.2">
      <c r="A288" s="190"/>
      <c r="B288" s="190"/>
      <c r="C288" s="190"/>
    </row>
    <row r="289" spans="1:3" x14ac:dyDescent="0.2">
      <c r="A289" s="190"/>
      <c r="B289" s="190"/>
      <c r="C289" s="190"/>
    </row>
    <row r="290" spans="1:3" x14ac:dyDescent="0.2">
      <c r="A290" s="190"/>
      <c r="B290" s="190"/>
      <c r="C290" s="190"/>
    </row>
    <row r="291" spans="1:3" x14ac:dyDescent="0.2">
      <c r="A291" s="190"/>
      <c r="B291" s="190"/>
      <c r="C291" s="190"/>
    </row>
    <row r="292" spans="1:3" x14ac:dyDescent="0.2">
      <c r="A292" s="190"/>
      <c r="B292" s="190"/>
      <c r="C292" s="190"/>
    </row>
    <row r="293" spans="1:3" x14ac:dyDescent="0.2">
      <c r="A293" s="190"/>
      <c r="B293" s="190"/>
      <c r="C293" s="190"/>
    </row>
    <row r="294" spans="1:3" x14ac:dyDescent="0.2">
      <c r="A294" s="190"/>
      <c r="B294" s="190"/>
      <c r="C294" s="190"/>
    </row>
    <row r="295" spans="1:3" x14ac:dyDescent="0.2">
      <c r="A295" s="190"/>
      <c r="B295" s="190"/>
      <c r="C295" s="190"/>
    </row>
    <row r="296" spans="1:3" x14ac:dyDescent="0.2">
      <c r="A296" s="190"/>
      <c r="B296" s="190"/>
      <c r="C296" s="190"/>
    </row>
    <row r="297" spans="1:3" x14ac:dyDescent="0.2">
      <c r="A297" s="190"/>
      <c r="B297" s="190"/>
      <c r="C297" s="190"/>
    </row>
    <row r="298" spans="1:3" x14ac:dyDescent="0.2">
      <c r="A298" s="190"/>
      <c r="B298" s="190"/>
      <c r="C298" s="190"/>
    </row>
    <row r="299" spans="1:3" x14ac:dyDescent="0.2">
      <c r="A299" s="190"/>
      <c r="B299" s="190"/>
      <c r="C299" s="190"/>
    </row>
    <row r="300" spans="1:3" x14ac:dyDescent="0.2">
      <c r="A300" s="190"/>
      <c r="B300" s="190"/>
      <c r="C300" s="190"/>
    </row>
    <row r="301" spans="1:3" x14ac:dyDescent="0.2">
      <c r="A301" s="190"/>
      <c r="B301" s="190"/>
      <c r="C301" s="190"/>
    </row>
    <row r="302" spans="1:3" x14ac:dyDescent="0.2">
      <c r="A302" s="190"/>
      <c r="B302" s="190"/>
      <c r="C302" s="190"/>
    </row>
    <row r="303" spans="1:3" x14ac:dyDescent="0.2">
      <c r="A303" s="190"/>
      <c r="B303" s="190"/>
      <c r="C303" s="190"/>
    </row>
    <row r="304" spans="1:3" x14ac:dyDescent="0.2">
      <c r="A304" s="190"/>
      <c r="B304" s="190"/>
      <c r="C304" s="190"/>
    </row>
    <row r="305" spans="1:3" x14ac:dyDescent="0.2">
      <c r="A305" s="190"/>
      <c r="B305" s="190"/>
      <c r="C305" s="190"/>
    </row>
    <row r="306" spans="1:3" x14ac:dyDescent="0.2">
      <c r="A306" s="190"/>
      <c r="B306" s="190"/>
      <c r="C306" s="190"/>
    </row>
    <row r="307" spans="1:3" x14ac:dyDescent="0.2">
      <c r="A307" s="190"/>
      <c r="B307" s="190"/>
      <c r="C307" s="190"/>
    </row>
    <row r="308" spans="1:3" x14ac:dyDescent="0.2">
      <c r="A308" s="190"/>
      <c r="B308" s="190"/>
      <c r="C308" s="190"/>
    </row>
    <row r="309" spans="1:3" x14ac:dyDescent="0.2">
      <c r="A309" s="190"/>
      <c r="B309" s="190"/>
      <c r="C309" s="190"/>
    </row>
    <row r="310" spans="1:3" x14ac:dyDescent="0.2">
      <c r="A310" s="190"/>
      <c r="B310" s="190"/>
      <c r="C310" s="190"/>
    </row>
    <row r="311" spans="1:3" x14ac:dyDescent="0.2">
      <c r="A311" s="190"/>
      <c r="B311" s="190"/>
      <c r="C311" s="190"/>
    </row>
    <row r="312" spans="1:3" x14ac:dyDescent="0.2">
      <c r="A312" s="190"/>
      <c r="B312" s="190"/>
      <c r="C312" s="190"/>
    </row>
    <row r="313" spans="1:3" x14ac:dyDescent="0.2">
      <c r="A313" s="190"/>
      <c r="B313" s="190"/>
      <c r="C313" s="190"/>
    </row>
    <row r="314" spans="1:3" x14ac:dyDescent="0.2">
      <c r="A314" s="190"/>
      <c r="B314" s="190"/>
      <c r="C314" s="190"/>
    </row>
    <row r="315" spans="1:3" x14ac:dyDescent="0.2">
      <c r="A315" s="190"/>
      <c r="B315" s="190"/>
      <c r="C315" s="190"/>
    </row>
    <row r="316" spans="1:3" x14ac:dyDescent="0.2">
      <c r="A316" s="190"/>
      <c r="B316" s="190"/>
      <c r="C316" s="190"/>
    </row>
    <row r="317" spans="1:3" x14ac:dyDescent="0.2">
      <c r="A317" s="190"/>
      <c r="B317" s="190"/>
      <c r="C317" s="190"/>
    </row>
    <row r="318" spans="1:3" x14ac:dyDescent="0.2">
      <c r="A318" s="190"/>
      <c r="B318" s="190"/>
      <c r="C318" s="190"/>
    </row>
    <row r="319" spans="1:3" x14ac:dyDescent="0.2">
      <c r="A319" s="190"/>
      <c r="B319" s="190"/>
      <c r="C319" s="190"/>
    </row>
    <row r="320" spans="1:3" x14ac:dyDescent="0.2">
      <c r="A320" s="190"/>
      <c r="B320" s="190"/>
      <c r="C320" s="190"/>
    </row>
    <row r="321" spans="1:3" x14ac:dyDescent="0.2">
      <c r="A321" s="190"/>
      <c r="B321" s="190"/>
      <c r="C321" s="190"/>
    </row>
    <row r="322" spans="1:3" x14ac:dyDescent="0.2">
      <c r="A322" s="190"/>
      <c r="B322" s="190"/>
      <c r="C322" s="190"/>
    </row>
    <row r="323" spans="1:3" x14ac:dyDescent="0.2">
      <c r="A323" s="190"/>
      <c r="B323" s="190"/>
      <c r="C323" s="190"/>
    </row>
    <row r="324" spans="1:3" x14ac:dyDescent="0.2">
      <c r="A324" s="190"/>
      <c r="B324" s="190"/>
      <c r="C324" s="190"/>
    </row>
    <row r="325" spans="1:3" x14ac:dyDescent="0.2">
      <c r="A325" s="190"/>
      <c r="B325" s="190"/>
      <c r="C325" s="190"/>
    </row>
    <row r="326" spans="1:3" x14ac:dyDescent="0.2">
      <c r="A326" s="190"/>
      <c r="B326" s="190"/>
      <c r="C326" s="190"/>
    </row>
    <row r="327" spans="1:3" x14ac:dyDescent="0.2">
      <c r="A327" s="190"/>
      <c r="B327" s="190"/>
      <c r="C327" s="190"/>
    </row>
    <row r="328" spans="1:3" x14ac:dyDescent="0.2">
      <c r="A328" s="190"/>
      <c r="B328" s="190"/>
      <c r="C328" s="190"/>
    </row>
    <row r="329" spans="1:3" x14ac:dyDescent="0.2">
      <c r="A329" s="102"/>
      <c r="B329" s="102"/>
      <c r="C329" s="102"/>
    </row>
    <row r="330" spans="1:3" x14ac:dyDescent="0.2">
      <c r="A330" s="102"/>
      <c r="B330" s="102"/>
      <c r="C330" s="102"/>
    </row>
    <row r="331" spans="1:3" x14ac:dyDescent="0.2">
      <c r="A331" s="102"/>
      <c r="B331" s="102"/>
      <c r="C331" s="102"/>
    </row>
    <row r="332" spans="1:3" x14ac:dyDescent="0.2">
      <c r="A332" s="102"/>
      <c r="B332" s="102"/>
      <c r="C332" s="102"/>
    </row>
    <row r="333" spans="1:3" x14ac:dyDescent="0.2">
      <c r="A333" s="102"/>
      <c r="B333" s="102"/>
      <c r="C333" s="102"/>
    </row>
    <row r="334" spans="1:3" x14ac:dyDescent="0.2">
      <c r="A334" s="102"/>
      <c r="B334" s="102"/>
      <c r="C334" s="102"/>
    </row>
    <row r="335" spans="1:3" x14ac:dyDescent="0.2">
      <c r="A335" s="102"/>
      <c r="B335" s="102"/>
      <c r="C335" s="102"/>
    </row>
    <row r="336" spans="1:3" x14ac:dyDescent="0.2">
      <c r="A336" s="102"/>
      <c r="B336" s="102"/>
      <c r="C336" s="102"/>
    </row>
    <row r="337" spans="1:3" x14ac:dyDescent="0.2">
      <c r="A337" s="102"/>
      <c r="B337" s="102"/>
      <c r="C337" s="102"/>
    </row>
    <row r="338" spans="1:3" x14ac:dyDescent="0.2">
      <c r="A338" s="102"/>
      <c r="B338" s="102"/>
      <c r="C338" s="102"/>
    </row>
    <row r="339" spans="1:3" x14ac:dyDescent="0.2">
      <c r="A339" s="102"/>
      <c r="B339" s="102"/>
      <c r="C339" s="102"/>
    </row>
    <row r="340" spans="1:3" x14ac:dyDescent="0.2">
      <c r="A340" s="102"/>
      <c r="B340" s="102"/>
      <c r="C340" s="102"/>
    </row>
    <row r="341" spans="1:3" x14ac:dyDescent="0.2">
      <c r="A341" s="102"/>
      <c r="B341" s="102"/>
      <c r="C341" s="102"/>
    </row>
    <row r="342" spans="1:3" x14ac:dyDescent="0.2">
      <c r="A342" s="102"/>
      <c r="B342" s="102"/>
      <c r="C342" s="102"/>
    </row>
    <row r="343" spans="1:3" x14ac:dyDescent="0.2">
      <c r="A343" s="102"/>
      <c r="B343" s="102"/>
      <c r="C343" s="102"/>
    </row>
    <row r="344" spans="1:3" x14ac:dyDescent="0.2">
      <c r="A344" s="102"/>
      <c r="B344" s="102"/>
      <c r="C344" s="102"/>
    </row>
    <row r="345" spans="1:3" x14ac:dyDescent="0.2">
      <c r="A345" s="102"/>
      <c r="B345" s="102"/>
      <c r="C345" s="102"/>
    </row>
    <row r="346" spans="1:3" x14ac:dyDescent="0.2">
      <c r="A346" s="102"/>
      <c r="B346" s="102"/>
      <c r="C346" s="102"/>
    </row>
    <row r="347" spans="1:3" x14ac:dyDescent="0.2">
      <c r="A347" s="102"/>
      <c r="B347" s="102"/>
      <c r="C347" s="102"/>
    </row>
    <row r="348" spans="1:3" x14ac:dyDescent="0.2">
      <c r="A348" s="102"/>
      <c r="B348" s="102"/>
      <c r="C348" s="102"/>
    </row>
    <row r="349" spans="1:3" x14ac:dyDescent="0.2">
      <c r="A349" s="102"/>
      <c r="B349" s="102"/>
      <c r="C349" s="102"/>
    </row>
    <row r="350" spans="1:3" x14ac:dyDescent="0.2">
      <c r="A350" s="102"/>
      <c r="B350" s="102"/>
      <c r="C350" s="102"/>
    </row>
    <row r="351" spans="1:3" x14ac:dyDescent="0.2">
      <c r="A351" s="102"/>
      <c r="B351" s="102"/>
      <c r="C351" s="102"/>
    </row>
    <row r="352" spans="1:3" x14ac:dyDescent="0.2">
      <c r="A352" s="102"/>
      <c r="B352" s="102"/>
      <c r="C352" s="102"/>
    </row>
    <row r="353" spans="1:3" x14ac:dyDescent="0.2">
      <c r="A353" s="102"/>
      <c r="B353" s="102"/>
      <c r="C353" s="102"/>
    </row>
    <row r="354" spans="1:3" x14ac:dyDescent="0.2">
      <c r="A354" s="102"/>
      <c r="B354" s="102"/>
      <c r="C354" s="102"/>
    </row>
    <row r="355" spans="1:3" x14ac:dyDescent="0.2">
      <c r="A355" s="102"/>
      <c r="B355" s="102"/>
      <c r="C355" s="102"/>
    </row>
    <row r="356" spans="1:3" x14ac:dyDescent="0.2">
      <c r="A356" s="102"/>
      <c r="B356" s="102"/>
      <c r="C356" s="102"/>
    </row>
    <row r="357" spans="1:3" x14ac:dyDescent="0.2">
      <c r="A357" s="102"/>
      <c r="B357" s="102"/>
      <c r="C357" s="102"/>
    </row>
    <row r="358" spans="1:3" x14ac:dyDescent="0.2">
      <c r="A358" s="102"/>
      <c r="B358" s="102"/>
      <c r="C358" s="102"/>
    </row>
    <row r="359" spans="1:3" x14ac:dyDescent="0.2">
      <c r="A359" s="102"/>
      <c r="B359" s="102"/>
      <c r="C359" s="102"/>
    </row>
    <row r="360" spans="1:3" x14ac:dyDescent="0.2">
      <c r="A360" s="102"/>
      <c r="B360" s="102"/>
      <c r="C360" s="102"/>
    </row>
    <row r="361" spans="1:3" x14ac:dyDescent="0.2">
      <c r="A361" s="102"/>
      <c r="B361" s="102"/>
      <c r="C361" s="102"/>
    </row>
    <row r="362" spans="1:3" x14ac:dyDescent="0.2">
      <c r="A362" s="102"/>
      <c r="B362" s="102"/>
      <c r="C362" s="102"/>
    </row>
    <row r="363" spans="1:3" x14ac:dyDescent="0.2">
      <c r="A363" s="102"/>
      <c r="B363" s="102"/>
      <c r="C363" s="102"/>
    </row>
    <row r="364" spans="1:3" x14ac:dyDescent="0.2">
      <c r="A364" s="102"/>
      <c r="B364" s="102"/>
      <c r="C364" s="102"/>
    </row>
    <row r="365" spans="1:3" x14ac:dyDescent="0.2">
      <c r="A365" s="102"/>
      <c r="B365" s="102"/>
      <c r="C365" s="102"/>
    </row>
    <row r="366" spans="1:3" x14ac:dyDescent="0.2">
      <c r="A366" s="102"/>
      <c r="B366" s="102"/>
      <c r="C366" s="102"/>
    </row>
    <row r="367" spans="1:3" x14ac:dyDescent="0.2">
      <c r="A367" s="102"/>
      <c r="B367" s="102"/>
      <c r="C367" s="102"/>
    </row>
    <row r="368" spans="1:3" x14ac:dyDescent="0.2">
      <c r="A368" s="102"/>
      <c r="B368" s="102"/>
      <c r="C368" s="102"/>
    </row>
    <row r="369" spans="1:3" x14ac:dyDescent="0.2">
      <c r="A369" s="102"/>
      <c r="B369" s="102"/>
      <c r="C369" s="102"/>
    </row>
    <row r="370" spans="1:3" x14ac:dyDescent="0.2">
      <c r="A370" s="102"/>
      <c r="B370" s="102"/>
      <c r="C370" s="102"/>
    </row>
    <row r="371" spans="1:3" x14ac:dyDescent="0.2">
      <c r="A371" s="102"/>
      <c r="B371" s="102"/>
      <c r="C371" s="102"/>
    </row>
    <row r="372" spans="1:3" x14ac:dyDescent="0.2">
      <c r="A372" s="102"/>
      <c r="B372" s="102"/>
      <c r="C372" s="102"/>
    </row>
    <row r="373" spans="1:3" x14ac:dyDescent="0.2">
      <c r="A373" s="102"/>
      <c r="B373" s="102"/>
      <c r="C373" s="102"/>
    </row>
    <row r="374" spans="1:3" x14ac:dyDescent="0.2">
      <c r="A374" s="102"/>
      <c r="B374" s="102"/>
      <c r="C374" s="102"/>
    </row>
    <row r="375" spans="1:3" x14ac:dyDescent="0.2">
      <c r="A375" s="102"/>
      <c r="B375" s="102"/>
      <c r="C375" s="102"/>
    </row>
    <row r="376" spans="1:3" x14ac:dyDescent="0.2">
      <c r="A376" s="102"/>
      <c r="B376" s="102"/>
      <c r="C376" s="102"/>
    </row>
    <row r="377" spans="1:3" x14ac:dyDescent="0.2">
      <c r="A377" s="102"/>
      <c r="B377" s="102"/>
      <c r="C377" s="102"/>
    </row>
    <row r="378" spans="1:3" x14ac:dyDescent="0.2">
      <c r="A378" s="102"/>
      <c r="B378" s="102"/>
      <c r="C378" s="102"/>
    </row>
    <row r="379" spans="1:3" x14ac:dyDescent="0.2">
      <c r="A379" s="102"/>
      <c r="B379" s="102"/>
      <c r="C379" s="102"/>
    </row>
    <row r="380" spans="1:3" x14ac:dyDescent="0.2">
      <c r="A380" s="102"/>
      <c r="B380" s="102"/>
      <c r="C380" s="102"/>
    </row>
    <row r="381" spans="1:3" x14ac:dyDescent="0.2">
      <c r="A381" s="102"/>
      <c r="B381" s="102"/>
      <c r="C381" s="102"/>
    </row>
    <row r="382" spans="1:3" x14ac:dyDescent="0.2">
      <c r="A382" s="102"/>
      <c r="B382" s="102"/>
      <c r="C382" s="102"/>
    </row>
    <row r="383" spans="1:3" x14ac:dyDescent="0.2">
      <c r="A383" s="102"/>
      <c r="B383" s="102"/>
      <c r="C383" s="102"/>
    </row>
    <row r="384" spans="1:3" x14ac:dyDescent="0.2">
      <c r="A384" s="102"/>
      <c r="B384" s="102"/>
      <c r="C384" s="102"/>
    </row>
    <row r="385" spans="1:3" x14ac:dyDescent="0.2">
      <c r="A385" s="102"/>
      <c r="B385" s="102"/>
      <c r="C385" s="102"/>
    </row>
    <row r="386" spans="1:3" x14ac:dyDescent="0.2">
      <c r="A386" s="102"/>
      <c r="B386" s="102"/>
      <c r="C386" s="102"/>
    </row>
    <row r="387" spans="1:3" x14ac:dyDescent="0.2">
      <c r="A387" s="102"/>
      <c r="B387" s="102"/>
      <c r="C387" s="102"/>
    </row>
    <row r="388" spans="1:3" x14ac:dyDescent="0.2">
      <c r="A388" s="102"/>
      <c r="B388" s="102"/>
      <c r="C388" s="102"/>
    </row>
    <row r="389" spans="1:3" x14ac:dyDescent="0.2">
      <c r="A389" s="102"/>
      <c r="B389" s="102"/>
      <c r="C389" s="102"/>
    </row>
    <row r="390" spans="1:3" x14ac:dyDescent="0.2">
      <c r="A390" s="102"/>
      <c r="B390" s="102"/>
      <c r="C390" s="102"/>
    </row>
    <row r="391" spans="1:3" x14ac:dyDescent="0.2">
      <c r="A391" s="102"/>
      <c r="B391" s="102"/>
      <c r="C391" s="102"/>
    </row>
    <row r="392" spans="1:3" x14ac:dyDescent="0.2">
      <c r="A392" s="102"/>
      <c r="B392" s="102"/>
      <c r="C392" s="102"/>
    </row>
    <row r="393" spans="1:3" x14ac:dyDescent="0.2">
      <c r="A393" s="102"/>
      <c r="B393" s="102"/>
      <c r="C393" s="102"/>
    </row>
    <row r="394" spans="1:3" x14ac:dyDescent="0.2">
      <c r="A394" s="102"/>
      <c r="B394" s="102"/>
      <c r="C394" s="102"/>
    </row>
    <row r="395" spans="1:3" x14ac:dyDescent="0.2">
      <c r="A395" s="102"/>
      <c r="B395" s="102"/>
      <c r="C395" s="102"/>
    </row>
    <row r="396" spans="1:3" x14ac:dyDescent="0.2">
      <c r="A396" s="102"/>
      <c r="B396" s="102"/>
      <c r="C396" s="102"/>
    </row>
    <row r="397" spans="1:3" x14ac:dyDescent="0.2">
      <c r="A397" s="102"/>
      <c r="B397" s="102"/>
      <c r="C397" s="102"/>
    </row>
    <row r="398" spans="1:3" x14ac:dyDescent="0.2">
      <c r="A398" s="102"/>
      <c r="B398" s="102"/>
      <c r="C398" s="102"/>
    </row>
    <row r="399" spans="1:3" x14ac:dyDescent="0.2">
      <c r="A399" s="102"/>
      <c r="B399" s="102"/>
      <c r="C399" s="102"/>
    </row>
    <row r="400" spans="1:3" x14ac:dyDescent="0.2">
      <c r="A400" s="102"/>
      <c r="B400" s="102"/>
      <c r="C400" s="102"/>
    </row>
    <row r="401" spans="1:3" x14ac:dyDescent="0.2">
      <c r="A401" s="102"/>
      <c r="B401" s="102"/>
      <c r="C401" s="102"/>
    </row>
    <row r="402" spans="1:3" x14ac:dyDescent="0.2">
      <c r="A402" s="102"/>
      <c r="B402" s="102"/>
      <c r="C402" s="102"/>
    </row>
    <row r="403" spans="1:3" x14ac:dyDescent="0.2">
      <c r="A403" s="102"/>
      <c r="B403" s="102"/>
      <c r="C403" s="102"/>
    </row>
    <row r="404" spans="1:3" x14ac:dyDescent="0.2">
      <c r="A404" s="102"/>
      <c r="B404" s="102"/>
      <c r="C404" s="102"/>
    </row>
    <row r="405" spans="1:3" x14ac:dyDescent="0.2">
      <c r="A405" s="102"/>
      <c r="B405" s="102"/>
      <c r="C405" s="102"/>
    </row>
    <row r="406" spans="1:3" x14ac:dyDescent="0.2">
      <c r="A406" s="102"/>
      <c r="B406" s="102"/>
      <c r="C406" s="102"/>
    </row>
    <row r="407" spans="1:3" x14ac:dyDescent="0.2">
      <c r="A407" s="102"/>
      <c r="B407" s="102"/>
      <c r="C407" s="102"/>
    </row>
    <row r="408" spans="1:3" x14ac:dyDescent="0.2">
      <c r="A408" s="102"/>
      <c r="B408" s="102"/>
      <c r="C408" s="102"/>
    </row>
    <row r="409" spans="1:3" x14ac:dyDescent="0.2">
      <c r="A409" s="102"/>
      <c r="B409" s="102"/>
      <c r="C409" s="102"/>
    </row>
    <row r="410" spans="1:3" x14ac:dyDescent="0.2">
      <c r="A410" s="102"/>
      <c r="B410" s="102"/>
      <c r="C410" s="102"/>
    </row>
    <row r="411" spans="1:3" x14ac:dyDescent="0.2">
      <c r="A411" s="102"/>
      <c r="B411" s="102"/>
      <c r="C411" s="102"/>
    </row>
    <row r="412" spans="1:3" x14ac:dyDescent="0.2">
      <c r="A412" s="102"/>
      <c r="B412" s="102"/>
      <c r="C412" s="102"/>
    </row>
    <row r="413" spans="1:3" x14ac:dyDescent="0.2">
      <c r="A413" s="102"/>
      <c r="B413" s="102"/>
      <c r="C413" s="102"/>
    </row>
    <row r="414" spans="1:3" x14ac:dyDescent="0.2">
      <c r="A414" s="102"/>
      <c r="B414" s="102"/>
      <c r="C414" s="102"/>
    </row>
    <row r="415" spans="1:3" x14ac:dyDescent="0.2">
      <c r="A415" s="102"/>
      <c r="B415" s="102"/>
      <c r="C415" s="102"/>
    </row>
    <row r="416" spans="1:3" x14ac:dyDescent="0.2">
      <c r="A416" s="102"/>
      <c r="B416" s="102"/>
      <c r="C416" s="102"/>
    </row>
    <row r="417" spans="1:3" x14ac:dyDescent="0.2">
      <c r="A417" s="102"/>
      <c r="B417" s="102"/>
      <c r="C417" s="102"/>
    </row>
    <row r="418" spans="1:3" x14ac:dyDescent="0.2">
      <c r="A418" s="102"/>
      <c r="B418" s="102"/>
      <c r="C418" s="102"/>
    </row>
    <row r="419" spans="1:3" x14ac:dyDescent="0.2">
      <c r="A419" s="102"/>
      <c r="B419" s="102"/>
      <c r="C419" s="102"/>
    </row>
    <row r="420" spans="1:3" x14ac:dyDescent="0.2">
      <c r="A420" s="102"/>
      <c r="B420" s="102"/>
      <c r="C420" s="102"/>
    </row>
    <row r="421" spans="1:3" x14ac:dyDescent="0.2">
      <c r="A421" s="102"/>
      <c r="B421" s="102"/>
      <c r="C421" s="102"/>
    </row>
    <row r="422" spans="1:3" x14ac:dyDescent="0.2">
      <c r="A422" s="102"/>
      <c r="B422" s="102"/>
      <c r="C422" s="102"/>
    </row>
    <row r="423" spans="1:3" x14ac:dyDescent="0.2">
      <c r="A423" s="102"/>
      <c r="B423" s="102"/>
      <c r="C423" s="102"/>
    </row>
    <row r="424" spans="1:3" x14ac:dyDescent="0.2">
      <c r="A424" s="102"/>
      <c r="B424" s="102"/>
      <c r="C424" s="102"/>
    </row>
    <row r="425" spans="1:3" x14ac:dyDescent="0.2">
      <c r="A425" s="102"/>
      <c r="B425" s="102"/>
      <c r="C425" s="102"/>
    </row>
    <row r="426" spans="1:3" x14ac:dyDescent="0.2">
      <c r="A426" s="102"/>
      <c r="B426" s="102"/>
      <c r="C426" s="102"/>
    </row>
    <row r="427" spans="1:3" x14ac:dyDescent="0.2">
      <c r="A427" s="102"/>
      <c r="B427" s="102"/>
      <c r="C427" s="102"/>
    </row>
    <row r="428" spans="1:3" x14ac:dyDescent="0.2">
      <c r="A428" s="102"/>
      <c r="B428" s="102"/>
      <c r="C428" s="102"/>
    </row>
    <row r="429" spans="1:3" x14ac:dyDescent="0.2">
      <c r="A429" s="102"/>
      <c r="B429" s="102"/>
      <c r="C429" s="102"/>
    </row>
    <row r="430" spans="1:3" x14ac:dyDescent="0.2">
      <c r="A430" s="102"/>
      <c r="B430" s="102"/>
      <c r="C430" s="102"/>
    </row>
    <row r="431" spans="1:3" x14ac:dyDescent="0.2">
      <c r="A431" s="102"/>
      <c r="B431" s="102"/>
      <c r="C431" s="102"/>
    </row>
    <row r="432" spans="1:3" x14ac:dyDescent="0.2">
      <c r="A432" s="102"/>
      <c r="B432" s="102"/>
      <c r="C432" s="102"/>
    </row>
    <row r="433" spans="1:3" x14ac:dyDescent="0.2">
      <c r="A433" s="102"/>
      <c r="B433" s="102"/>
      <c r="C433" s="102"/>
    </row>
    <row r="434" spans="1:3" x14ac:dyDescent="0.2">
      <c r="A434" s="102"/>
      <c r="B434" s="102"/>
      <c r="C434" s="102"/>
    </row>
    <row r="435" spans="1:3" x14ac:dyDescent="0.2">
      <c r="A435" s="102"/>
      <c r="B435" s="102"/>
      <c r="C435" s="102"/>
    </row>
    <row r="436" spans="1:3" x14ac:dyDescent="0.2">
      <c r="A436" s="102"/>
      <c r="B436" s="102"/>
      <c r="C436" s="102"/>
    </row>
    <row r="437" spans="1:3" x14ac:dyDescent="0.2">
      <c r="A437" s="102"/>
      <c r="B437" s="102"/>
      <c r="C437" s="102"/>
    </row>
    <row r="438" spans="1:3" x14ac:dyDescent="0.2">
      <c r="A438" s="102"/>
      <c r="B438" s="102"/>
      <c r="C438" s="102"/>
    </row>
    <row r="439" spans="1:3" x14ac:dyDescent="0.2">
      <c r="A439" s="102"/>
      <c r="B439" s="102"/>
      <c r="C439" s="102"/>
    </row>
    <row r="440" spans="1:3" x14ac:dyDescent="0.2">
      <c r="A440" s="102"/>
      <c r="B440" s="102"/>
      <c r="C440" s="102"/>
    </row>
    <row r="441" spans="1:3" x14ac:dyDescent="0.2">
      <c r="A441" s="102"/>
      <c r="B441" s="102"/>
      <c r="C441" s="102"/>
    </row>
    <row r="442" spans="1:3" x14ac:dyDescent="0.2">
      <c r="A442" s="102"/>
      <c r="B442" s="102"/>
      <c r="C442" s="102"/>
    </row>
    <row r="443" spans="1:3" x14ac:dyDescent="0.2">
      <c r="A443" s="102"/>
      <c r="B443" s="102"/>
      <c r="C443" s="102"/>
    </row>
    <row r="444" spans="1:3" x14ac:dyDescent="0.2">
      <c r="A444" s="102"/>
      <c r="B444" s="102"/>
      <c r="C444" s="102"/>
    </row>
    <row r="445" spans="1:3" x14ac:dyDescent="0.2">
      <c r="A445" s="102"/>
      <c r="B445" s="102"/>
      <c r="C445" s="102"/>
    </row>
    <row r="446" spans="1:3" x14ac:dyDescent="0.2">
      <c r="A446" s="102"/>
      <c r="B446" s="102"/>
      <c r="C446" s="102"/>
    </row>
    <row r="447" spans="1:3" x14ac:dyDescent="0.2">
      <c r="A447" s="102"/>
      <c r="B447" s="102"/>
      <c r="C447" s="102"/>
    </row>
    <row r="448" spans="1:3" x14ac:dyDescent="0.2">
      <c r="A448" s="102"/>
      <c r="B448" s="102"/>
      <c r="C448" s="102"/>
    </row>
    <row r="449" spans="1:3" x14ac:dyDescent="0.2">
      <c r="A449" s="102"/>
      <c r="B449" s="102"/>
      <c r="C449" s="102"/>
    </row>
    <row r="450" spans="1:3" x14ac:dyDescent="0.2">
      <c r="A450" s="102"/>
      <c r="B450" s="102"/>
      <c r="C450" s="102"/>
    </row>
    <row r="451" spans="1:3" x14ac:dyDescent="0.2">
      <c r="A451" s="102"/>
      <c r="B451" s="102"/>
      <c r="C451" s="102"/>
    </row>
    <row r="452" spans="1:3" x14ac:dyDescent="0.2">
      <c r="A452" s="102"/>
      <c r="B452" s="102"/>
      <c r="C452" s="102"/>
    </row>
    <row r="453" spans="1:3" x14ac:dyDescent="0.2">
      <c r="A453" s="102"/>
      <c r="B453" s="102"/>
      <c r="C453" s="102"/>
    </row>
    <row r="454" spans="1:3" x14ac:dyDescent="0.2">
      <c r="A454" s="102"/>
      <c r="B454" s="102"/>
      <c r="C454" s="102"/>
    </row>
    <row r="455" spans="1:3" x14ac:dyDescent="0.2">
      <c r="A455" s="102"/>
      <c r="B455" s="102"/>
      <c r="C455" s="102"/>
    </row>
    <row r="456" spans="1:3" x14ac:dyDescent="0.2">
      <c r="A456" s="102"/>
      <c r="B456" s="102"/>
      <c r="C456" s="102"/>
    </row>
    <row r="457" spans="1:3" x14ac:dyDescent="0.2">
      <c r="A457" s="102"/>
      <c r="B457" s="102"/>
      <c r="C457" s="102"/>
    </row>
    <row r="458" spans="1:3" x14ac:dyDescent="0.2">
      <c r="A458" s="102"/>
      <c r="B458" s="102"/>
      <c r="C458" s="102"/>
    </row>
    <row r="459" spans="1:3" x14ac:dyDescent="0.2">
      <c r="A459" s="102"/>
      <c r="B459" s="102"/>
      <c r="C459" s="102"/>
    </row>
    <row r="460" spans="1:3" x14ac:dyDescent="0.2">
      <c r="A460" s="102"/>
      <c r="B460" s="102"/>
      <c r="C460" s="102"/>
    </row>
    <row r="461" spans="1:3" x14ac:dyDescent="0.2">
      <c r="A461" s="102"/>
      <c r="B461" s="102"/>
      <c r="C461" s="102"/>
    </row>
    <row r="462" spans="1:3" x14ac:dyDescent="0.2">
      <c r="A462" s="102"/>
      <c r="B462" s="102"/>
      <c r="C462" s="102"/>
    </row>
    <row r="463" spans="1:3" x14ac:dyDescent="0.2">
      <c r="A463" s="102"/>
      <c r="B463" s="102"/>
      <c r="C463" s="102"/>
    </row>
    <row r="464" spans="1:3" x14ac:dyDescent="0.2">
      <c r="A464" s="102"/>
      <c r="B464" s="102"/>
      <c r="C464" s="102"/>
    </row>
    <row r="465" spans="1:3" x14ac:dyDescent="0.2">
      <c r="A465" s="102"/>
      <c r="B465" s="102"/>
      <c r="C465" s="102"/>
    </row>
    <row r="466" spans="1:3" x14ac:dyDescent="0.2">
      <c r="A466" s="102"/>
      <c r="B466" s="102"/>
      <c r="C466" s="102"/>
    </row>
    <row r="467" spans="1:3" x14ac:dyDescent="0.2">
      <c r="A467" s="102"/>
      <c r="B467" s="102"/>
      <c r="C467" s="102"/>
    </row>
    <row r="468" spans="1:3" x14ac:dyDescent="0.2">
      <c r="A468" s="102"/>
      <c r="B468" s="102"/>
      <c r="C468" s="102"/>
    </row>
    <row r="469" spans="1:3" x14ac:dyDescent="0.2">
      <c r="A469" s="102"/>
      <c r="B469" s="102"/>
      <c r="C469" s="102"/>
    </row>
    <row r="470" spans="1:3" x14ac:dyDescent="0.2">
      <c r="A470" s="102"/>
      <c r="B470" s="102"/>
      <c r="C470" s="102"/>
    </row>
    <row r="471" spans="1:3" x14ac:dyDescent="0.2">
      <c r="A471" s="102"/>
      <c r="B471" s="102"/>
      <c r="C471" s="102"/>
    </row>
    <row r="472" spans="1:3" x14ac:dyDescent="0.2">
      <c r="A472" s="102"/>
      <c r="B472" s="102"/>
      <c r="C472" s="102"/>
    </row>
    <row r="473" spans="1:3" x14ac:dyDescent="0.2">
      <c r="A473" s="102"/>
      <c r="B473" s="102"/>
      <c r="C473" s="102"/>
    </row>
    <row r="474" spans="1:3" x14ac:dyDescent="0.2">
      <c r="A474" s="102"/>
      <c r="B474" s="102"/>
      <c r="C474" s="102"/>
    </row>
    <row r="475" spans="1:3" x14ac:dyDescent="0.2">
      <c r="A475" s="102"/>
      <c r="B475" s="102"/>
      <c r="C475" s="102"/>
    </row>
    <row r="476" spans="1:3" x14ac:dyDescent="0.2">
      <c r="A476" s="102"/>
      <c r="B476" s="102"/>
      <c r="C476" s="102"/>
    </row>
    <row r="477" spans="1:3" x14ac:dyDescent="0.2">
      <c r="A477" s="102"/>
      <c r="B477" s="102"/>
      <c r="C477" s="102"/>
    </row>
    <row r="478" spans="1:3" x14ac:dyDescent="0.2">
      <c r="A478" s="102"/>
      <c r="B478" s="102"/>
      <c r="C478" s="102"/>
    </row>
    <row r="479" spans="1:3" x14ac:dyDescent="0.2">
      <c r="A479" s="102"/>
      <c r="B479" s="102"/>
      <c r="C479" s="102"/>
    </row>
    <row r="480" spans="1:3" x14ac:dyDescent="0.2">
      <c r="A480" s="102"/>
      <c r="B480" s="102"/>
      <c r="C480" s="102"/>
    </row>
    <row r="481" spans="1:3" x14ac:dyDescent="0.2">
      <c r="A481" s="102"/>
      <c r="B481" s="102"/>
      <c r="C481" s="102"/>
    </row>
    <row r="482" spans="1:3" x14ac:dyDescent="0.2">
      <c r="A482" s="102"/>
      <c r="B482" s="102"/>
      <c r="C482" s="102"/>
    </row>
    <row r="483" spans="1:3" x14ac:dyDescent="0.2">
      <c r="A483" s="102"/>
      <c r="B483" s="102"/>
      <c r="C483" s="102"/>
    </row>
    <row r="484" spans="1:3" x14ac:dyDescent="0.2">
      <c r="A484" s="102"/>
      <c r="B484" s="102"/>
      <c r="C484" s="102"/>
    </row>
    <row r="485" spans="1:3" x14ac:dyDescent="0.2">
      <c r="A485" s="102"/>
      <c r="B485" s="102"/>
      <c r="C485" s="102"/>
    </row>
    <row r="486" spans="1:3" x14ac:dyDescent="0.2">
      <c r="A486" s="102"/>
      <c r="B486" s="102"/>
      <c r="C486" s="102"/>
    </row>
    <row r="487" spans="1:3" x14ac:dyDescent="0.2">
      <c r="A487" s="102"/>
      <c r="B487" s="102"/>
      <c r="C487" s="102"/>
    </row>
    <row r="488" spans="1:3" x14ac:dyDescent="0.2">
      <c r="A488" s="102"/>
      <c r="B488" s="102"/>
      <c r="C488" s="102"/>
    </row>
    <row r="489" spans="1:3" x14ac:dyDescent="0.2">
      <c r="A489" s="102"/>
      <c r="B489" s="102"/>
      <c r="C489" s="102"/>
    </row>
    <row r="490" spans="1:3" x14ac:dyDescent="0.2">
      <c r="A490" s="102"/>
      <c r="B490" s="102"/>
      <c r="C490" s="102"/>
    </row>
    <row r="491" spans="1:3" x14ac:dyDescent="0.2">
      <c r="A491" s="102"/>
      <c r="B491" s="102"/>
      <c r="C491" s="102"/>
    </row>
    <row r="492" spans="1:3" x14ac:dyDescent="0.2">
      <c r="A492" s="102"/>
      <c r="B492" s="102"/>
      <c r="C492" s="102"/>
    </row>
    <row r="493" spans="1:3" x14ac:dyDescent="0.2">
      <c r="A493" s="102"/>
      <c r="B493" s="102"/>
      <c r="C493" s="102"/>
    </row>
    <row r="494" spans="1:3" x14ac:dyDescent="0.2">
      <c r="A494" s="102"/>
      <c r="B494" s="102"/>
      <c r="C494" s="102"/>
    </row>
    <row r="495" spans="1:3" x14ac:dyDescent="0.2">
      <c r="A495" s="102"/>
      <c r="B495" s="102"/>
      <c r="C495" s="102"/>
    </row>
    <row r="496" spans="1:3" x14ac:dyDescent="0.2">
      <c r="A496" s="102"/>
      <c r="B496" s="102"/>
      <c r="C496" s="102"/>
    </row>
    <row r="497" spans="1:3" x14ac:dyDescent="0.2">
      <c r="A497" s="102"/>
      <c r="B497" s="102"/>
      <c r="C497" s="102"/>
    </row>
    <row r="498" spans="1:3" x14ac:dyDescent="0.2">
      <c r="A498" s="102"/>
      <c r="B498" s="102"/>
      <c r="C498" s="102"/>
    </row>
    <row r="499" spans="1:3" x14ac:dyDescent="0.2">
      <c r="A499" s="102"/>
      <c r="B499" s="102"/>
      <c r="C499" s="102"/>
    </row>
    <row r="500" spans="1:3" x14ac:dyDescent="0.2">
      <c r="A500" s="102"/>
      <c r="B500" s="102"/>
      <c r="C500" s="102"/>
    </row>
    <row r="501" spans="1:3" x14ac:dyDescent="0.2">
      <c r="A501" s="102"/>
      <c r="B501" s="102"/>
      <c r="C501" s="102"/>
    </row>
    <row r="502" spans="1:3" x14ac:dyDescent="0.2">
      <c r="A502" s="102"/>
      <c r="B502" s="102"/>
      <c r="C502" s="102"/>
    </row>
    <row r="503" spans="1:3" x14ac:dyDescent="0.2">
      <c r="A503" s="102"/>
      <c r="B503" s="102"/>
      <c r="C503" s="102"/>
    </row>
    <row r="504" spans="1:3" x14ac:dyDescent="0.2">
      <c r="A504" s="102"/>
      <c r="B504" s="102"/>
      <c r="C504" s="102"/>
    </row>
    <row r="505" spans="1:3" x14ac:dyDescent="0.2">
      <c r="A505" s="102"/>
      <c r="B505" s="102"/>
      <c r="C505" s="102"/>
    </row>
    <row r="506" spans="1:3" x14ac:dyDescent="0.2">
      <c r="A506" s="102"/>
      <c r="B506" s="102"/>
      <c r="C506" s="102"/>
    </row>
    <row r="507" spans="1:3" x14ac:dyDescent="0.2">
      <c r="A507" s="102"/>
      <c r="B507" s="102"/>
      <c r="C507" s="102"/>
    </row>
    <row r="508" spans="1:3" x14ac:dyDescent="0.2">
      <c r="A508" s="102"/>
      <c r="B508" s="102"/>
      <c r="C508" s="102"/>
    </row>
    <row r="509" spans="1:3" x14ac:dyDescent="0.2">
      <c r="A509" s="102"/>
      <c r="B509" s="102"/>
      <c r="C509" s="102"/>
    </row>
    <row r="510" spans="1:3" x14ac:dyDescent="0.2">
      <c r="A510" s="102"/>
      <c r="B510" s="102"/>
      <c r="C510" s="102"/>
    </row>
    <row r="511" spans="1:3" x14ac:dyDescent="0.2">
      <c r="A511" s="102"/>
      <c r="B511" s="102"/>
      <c r="C511" s="102"/>
    </row>
    <row r="512" spans="1:3" x14ac:dyDescent="0.2">
      <c r="A512" s="102"/>
      <c r="B512" s="102"/>
      <c r="C512" s="102"/>
    </row>
    <row r="513" spans="1:3" x14ac:dyDescent="0.2">
      <c r="A513" s="102"/>
      <c r="B513" s="102"/>
      <c r="C513" s="102"/>
    </row>
    <row r="514" spans="1:3" x14ac:dyDescent="0.2">
      <c r="A514" s="102"/>
      <c r="B514" s="102"/>
      <c r="C514" s="102"/>
    </row>
    <row r="515" spans="1:3" x14ac:dyDescent="0.2">
      <c r="A515" s="102"/>
      <c r="B515" s="102"/>
      <c r="C515" s="102"/>
    </row>
    <row r="516" spans="1:3" x14ac:dyDescent="0.2">
      <c r="A516" s="102"/>
      <c r="B516" s="102"/>
      <c r="C516" s="102"/>
    </row>
    <row r="517" spans="1:3" x14ac:dyDescent="0.2">
      <c r="A517" s="102"/>
      <c r="B517" s="102"/>
      <c r="C517" s="102"/>
    </row>
    <row r="518" spans="1:3" x14ac:dyDescent="0.2">
      <c r="A518" s="102"/>
      <c r="B518" s="102"/>
      <c r="C518" s="102"/>
    </row>
    <row r="519" spans="1:3" x14ac:dyDescent="0.2">
      <c r="A519" s="102"/>
      <c r="B519" s="102"/>
      <c r="C519" s="102"/>
    </row>
    <row r="520" spans="1:3" x14ac:dyDescent="0.2">
      <c r="A520" s="102"/>
      <c r="B520" s="102"/>
      <c r="C520" s="102"/>
    </row>
    <row r="521" spans="1:3" x14ac:dyDescent="0.2">
      <c r="A521" s="102"/>
      <c r="B521" s="102"/>
      <c r="C521" s="102"/>
    </row>
    <row r="522" spans="1:3" x14ac:dyDescent="0.2">
      <c r="A522" s="102"/>
      <c r="B522" s="102"/>
      <c r="C522" s="102"/>
    </row>
    <row r="523" spans="1:3" x14ac:dyDescent="0.2">
      <c r="A523" s="102"/>
      <c r="B523" s="102"/>
      <c r="C523" s="102"/>
    </row>
    <row r="524" spans="1:3" x14ac:dyDescent="0.2">
      <c r="A524" s="102"/>
      <c r="B524" s="102"/>
      <c r="C524" s="102"/>
    </row>
    <row r="525" spans="1:3" x14ac:dyDescent="0.2">
      <c r="A525" s="102"/>
      <c r="B525" s="102"/>
      <c r="C525" s="102"/>
    </row>
    <row r="526" spans="1:3" x14ac:dyDescent="0.2">
      <c r="A526" s="102"/>
      <c r="B526" s="102"/>
      <c r="C526" s="102"/>
    </row>
    <row r="527" spans="1:3" x14ac:dyDescent="0.2">
      <c r="A527" s="102"/>
      <c r="B527" s="102"/>
      <c r="C527" s="102"/>
    </row>
    <row r="528" spans="1:3" x14ac:dyDescent="0.2">
      <c r="A528" s="102"/>
      <c r="B528" s="102"/>
      <c r="C528" s="102"/>
    </row>
    <row r="529" spans="1:3" x14ac:dyDescent="0.2">
      <c r="A529" s="102"/>
      <c r="B529" s="102"/>
      <c r="C529" s="102"/>
    </row>
    <row r="530" spans="1:3" x14ac:dyDescent="0.2">
      <c r="A530" s="102"/>
      <c r="B530" s="102"/>
      <c r="C530" s="102"/>
    </row>
    <row r="531" spans="1:3" x14ac:dyDescent="0.2">
      <c r="A531" s="102"/>
      <c r="B531" s="102"/>
      <c r="C531" s="102"/>
    </row>
    <row r="532" spans="1:3" x14ac:dyDescent="0.2">
      <c r="A532" s="102"/>
      <c r="B532" s="102"/>
      <c r="C532" s="102"/>
    </row>
    <row r="533" spans="1:3" x14ac:dyDescent="0.2">
      <c r="A533" s="102"/>
      <c r="B533" s="102"/>
      <c r="C533" s="102"/>
    </row>
    <row r="534" spans="1:3" x14ac:dyDescent="0.2">
      <c r="A534" s="102"/>
      <c r="B534" s="102"/>
      <c r="C534" s="102"/>
    </row>
    <row r="535" spans="1:3" x14ac:dyDescent="0.2">
      <c r="A535" s="102"/>
      <c r="B535" s="102"/>
      <c r="C535" s="102"/>
    </row>
    <row r="536" spans="1:3" x14ac:dyDescent="0.2">
      <c r="A536" s="102"/>
      <c r="B536" s="102"/>
      <c r="C536" s="102"/>
    </row>
    <row r="537" spans="1:3" x14ac:dyDescent="0.2">
      <c r="A537" s="102"/>
      <c r="B537" s="102"/>
      <c r="C537" s="102"/>
    </row>
    <row r="538" spans="1:3" x14ac:dyDescent="0.2">
      <c r="A538" s="102"/>
      <c r="B538" s="102"/>
      <c r="C538" s="102"/>
    </row>
    <row r="539" spans="1:3" x14ac:dyDescent="0.2">
      <c r="A539" s="102"/>
      <c r="B539" s="102"/>
      <c r="C539" s="102"/>
    </row>
    <row r="540" spans="1:3" x14ac:dyDescent="0.2">
      <c r="A540" s="102"/>
      <c r="B540" s="102"/>
      <c r="C540" s="102"/>
    </row>
    <row r="541" spans="1:3" x14ac:dyDescent="0.2">
      <c r="A541" s="102"/>
      <c r="B541" s="102"/>
      <c r="C541" s="102"/>
    </row>
    <row r="542" spans="1:3" x14ac:dyDescent="0.2">
      <c r="A542" s="102"/>
      <c r="B542" s="102"/>
      <c r="C542" s="102"/>
    </row>
    <row r="543" spans="1:3" x14ac:dyDescent="0.2">
      <c r="A543" s="102"/>
      <c r="B543" s="102"/>
      <c r="C543" s="102"/>
    </row>
    <row r="544" spans="1:3" x14ac:dyDescent="0.2">
      <c r="A544" s="102"/>
      <c r="B544" s="102"/>
      <c r="C544" s="102"/>
    </row>
    <row r="545" spans="1:3" x14ac:dyDescent="0.2">
      <c r="A545" s="102"/>
      <c r="B545" s="102"/>
      <c r="C545" s="102"/>
    </row>
    <row r="546" spans="1:3" x14ac:dyDescent="0.2">
      <c r="A546" s="102"/>
      <c r="B546" s="102"/>
      <c r="C546" s="102"/>
    </row>
    <row r="547" spans="1:3" x14ac:dyDescent="0.2">
      <c r="A547" s="102"/>
      <c r="B547" s="102"/>
      <c r="C547" s="102"/>
    </row>
    <row r="548" spans="1:3" x14ac:dyDescent="0.2">
      <c r="A548" s="102"/>
      <c r="B548" s="102"/>
      <c r="C548" s="102"/>
    </row>
    <row r="549" spans="1:3" x14ac:dyDescent="0.2">
      <c r="A549" s="102"/>
      <c r="B549" s="102"/>
      <c r="C549" s="102"/>
    </row>
    <row r="550" spans="1:3" x14ac:dyDescent="0.2">
      <c r="A550" s="102"/>
      <c r="B550" s="102"/>
      <c r="C550" s="102"/>
    </row>
    <row r="551" spans="1:3" x14ac:dyDescent="0.2">
      <c r="A551" s="102"/>
      <c r="B551" s="102"/>
      <c r="C551" s="102"/>
    </row>
    <row r="552" spans="1:3" x14ac:dyDescent="0.2">
      <c r="A552" s="102"/>
      <c r="B552" s="102"/>
      <c r="C552" s="102"/>
    </row>
    <row r="553" spans="1:3" x14ac:dyDescent="0.2">
      <c r="A553" s="102"/>
      <c r="B553" s="102"/>
      <c r="C553" s="102"/>
    </row>
    <row r="554" spans="1:3" x14ac:dyDescent="0.2">
      <c r="A554" s="102"/>
      <c r="B554" s="102"/>
      <c r="C554" s="102"/>
    </row>
    <row r="555" spans="1:3" x14ac:dyDescent="0.2">
      <c r="A555" s="102"/>
      <c r="B555" s="102"/>
      <c r="C555" s="102"/>
    </row>
    <row r="556" spans="1:3" x14ac:dyDescent="0.2">
      <c r="A556" s="102"/>
      <c r="B556" s="102"/>
      <c r="C556" s="102"/>
    </row>
    <row r="557" spans="1:3" x14ac:dyDescent="0.2">
      <c r="A557" s="102"/>
      <c r="B557" s="102"/>
      <c r="C557" s="102"/>
    </row>
    <row r="558" spans="1:3" x14ac:dyDescent="0.2">
      <c r="A558" s="102"/>
      <c r="B558" s="102"/>
      <c r="C558" s="102"/>
    </row>
    <row r="559" spans="1:3" x14ac:dyDescent="0.2">
      <c r="A559" s="102"/>
      <c r="B559" s="102"/>
      <c r="C559" s="102"/>
    </row>
    <row r="560" spans="1:3" x14ac:dyDescent="0.2">
      <c r="A560" s="102"/>
      <c r="B560" s="102"/>
      <c r="C560" s="102"/>
    </row>
    <row r="561" spans="1:3" x14ac:dyDescent="0.2">
      <c r="A561" s="102"/>
      <c r="B561" s="102"/>
      <c r="C561" s="102"/>
    </row>
    <row r="562" spans="1:3" x14ac:dyDescent="0.2">
      <c r="A562" s="102"/>
      <c r="B562" s="102"/>
      <c r="C562" s="102"/>
    </row>
    <row r="563" spans="1:3" x14ac:dyDescent="0.2">
      <c r="A563" s="102"/>
      <c r="B563" s="102"/>
      <c r="C563" s="102"/>
    </row>
    <row r="564" spans="1:3" x14ac:dyDescent="0.2">
      <c r="A564" s="102"/>
      <c r="B564" s="102"/>
      <c r="C564" s="102"/>
    </row>
    <row r="565" spans="1:3" x14ac:dyDescent="0.2">
      <c r="A565" s="102"/>
      <c r="B565" s="102"/>
      <c r="C565" s="102"/>
    </row>
    <row r="566" spans="1:3" x14ac:dyDescent="0.2">
      <c r="A566" s="102"/>
      <c r="B566" s="102"/>
      <c r="C566" s="102"/>
    </row>
    <row r="567" spans="1:3" x14ac:dyDescent="0.2">
      <c r="A567" s="102"/>
      <c r="B567" s="102"/>
      <c r="C567" s="102"/>
    </row>
    <row r="568" spans="1:3" x14ac:dyDescent="0.2">
      <c r="A568" s="102"/>
      <c r="B568" s="102"/>
      <c r="C568" s="102"/>
    </row>
    <row r="569" spans="1:3" x14ac:dyDescent="0.2">
      <c r="A569" s="102"/>
      <c r="B569" s="102"/>
      <c r="C569" s="102"/>
    </row>
    <row r="570" spans="1:3" x14ac:dyDescent="0.2">
      <c r="A570" s="102"/>
      <c r="B570" s="102"/>
      <c r="C570" s="102"/>
    </row>
    <row r="571" spans="1:3" x14ac:dyDescent="0.2">
      <c r="A571" s="102"/>
      <c r="B571" s="102"/>
      <c r="C571" s="102"/>
    </row>
    <row r="572" spans="1:3" x14ac:dyDescent="0.2">
      <c r="A572" s="102"/>
      <c r="B572" s="102"/>
      <c r="C572" s="102"/>
    </row>
    <row r="573" spans="1:3" x14ac:dyDescent="0.2">
      <c r="A573" s="102"/>
      <c r="B573" s="102"/>
      <c r="C573" s="102"/>
    </row>
    <row r="574" spans="1:3" x14ac:dyDescent="0.2">
      <c r="A574" s="102"/>
      <c r="B574" s="102"/>
      <c r="C574" s="102"/>
    </row>
    <row r="575" spans="1:3" x14ac:dyDescent="0.2">
      <c r="A575" s="102"/>
      <c r="B575" s="102"/>
      <c r="C575" s="102"/>
    </row>
    <row r="576" spans="1:3" x14ac:dyDescent="0.2">
      <c r="A576" s="102"/>
      <c r="B576" s="102"/>
      <c r="C576" s="102"/>
    </row>
    <row r="577" spans="1:3" x14ac:dyDescent="0.2">
      <c r="A577" s="102"/>
      <c r="B577" s="102"/>
      <c r="C577" s="102"/>
    </row>
    <row r="578" spans="1:3" x14ac:dyDescent="0.2">
      <c r="A578" s="102"/>
      <c r="B578" s="102"/>
      <c r="C578" s="102"/>
    </row>
    <row r="579" spans="1:3" x14ac:dyDescent="0.2">
      <c r="A579" s="102"/>
      <c r="B579" s="102"/>
      <c r="C579" s="102"/>
    </row>
    <row r="580" spans="1:3" x14ac:dyDescent="0.2">
      <c r="A580" s="102"/>
      <c r="B580" s="102"/>
      <c r="C580" s="102"/>
    </row>
    <row r="581" spans="1:3" x14ac:dyDescent="0.2">
      <c r="A581" s="102"/>
      <c r="B581" s="102"/>
      <c r="C581" s="102"/>
    </row>
    <row r="582" spans="1:3" x14ac:dyDescent="0.2">
      <c r="A582" s="102"/>
      <c r="B582" s="102"/>
      <c r="C582" s="102"/>
    </row>
    <row r="583" spans="1:3" x14ac:dyDescent="0.2">
      <c r="A583" s="102"/>
      <c r="B583" s="102"/>
      <c r="C583" s="102"/>
    </row>
    <row r="584" spans="1:3" x14ac:dyDescent="0.2">
      <c r="A584" s="102"/>
      <c r="B584" s="102"/>
      <c r="C584" s="102"/>
    </row>
    <row r="585" spans="1:3" x14ac:dyDescent="0.2">
      <c r="A585" s="102"/>
      <c r="B585" s="102"/>
      <c r="C585" s="102"/>
    </row>
    <row r="586" spans="1:3" x14ac:dyDescent="0.2">
      <c r="A586" s="102"/>
      <c r="B586" s="102"/>
      <c r="C586" s="102"/>
    </row>
    <row r="587" spans="1:3" x14ac:dyDescent="0.2">
      <c r="A587" s="102"/>
      <c r="B587" s="102"/>
      <c r="C587" s="102"/>
    </row>
    <row r="588" spans="1:3" x14ac:dyDescent="0.2">
      <c r="A588" s="102"/>
      <c r="B588" s="102"/>
      <c r="C588" s="102"/>
    </row>
    <row r="589" spans="1:3" x14ac:dyDescent="0.2">
      <c r="A589" s="102"/>
      <c r="B589" s="102"/>
      <c r="C589" s="102"/>
    </row>
    <row r="590" spans="1:3" x14ac:dyDescent="0.2">
      <c r="A590" s="102"/>
      <c r="B590" s="102"/>
      <c r="C590" s="102"/>
    </row>
    <row r="591" spans="1:3" x14ac:dyDescent="0.2">
      <c r="A591" s="102"/>
      <c r="B591" s="102"/>
      <c r="C591" s="102"/>
    </row>
    <row r="592" spans="1:3" x14ac:dyDescent="0.2">
      <c r="A592" s="102"/>
      <c r="B592" s="102"/>
      <c r="C592" s="102"/>
    </row>
    <row r="593" spans="1:3" x14ac:dyDescent="0.2">
      <c r="A593" s="102"/>
      <c r="B593" s="102"/>
      <c r="C593" s="102"/>
    </row>
    <row r="594" spans="1:3" x14ac:dyDescent="0.2">
      <c r="A594" s="102"/>
      <c r="B594" s="102"/>
      <c r="C594" s="102"/>
    </row>
    <row r="595" spans="1:3" x14ac:dyDescent="0.2">
      <c r="A595" s="102"/>
      <c r="B595" s="102"/>
      <c r="C595" s="102"/>
    </row>
    <row r="596" spans="1:3" x14ac:dyDescent="0.2">
      <c r="A596" s="102"/>
      <c r="B596" s="102"/>
      <c r="C596" s="102"/>
    </row>
    <row r="597" spans="1:3" x14ac:dyDescent="0.2">
      <c r="A597" s="102"/>
      <c r="B597" s="102"/>
      <c r="C597" s="102"/>
    </row>
    <row r="598" spans="1:3" x14ac:dyDescent="0.2">
      <c r="A598" s="102"/>
      <c r="B598" s="102"/>
      <c r="C598" s="102"/>
    </row>
    <row r="599" spans="1:3" x14ac:dyDescent="0.2">
      <c r="A599" s="102"/>
      <c r="B599" s="102"/>
      <c r="C599" s="102"/>
    </row>
    <row r="600" spans="1:3" x14ac:dyDescent="0.2">
      <c r="A600" s="102"/>
      <c r="B600" s="102"/>
      <c r="C600" s="102"/>
    </row>
    <row r="601" spans="1:3" x14ac:dyDescent="0.2">
      <c r="A601" s="102"/>
      <c r="B601" s="102"/>
      <c r="C601" s="102"/>
    </row>
    <row r="602" spans="1:3" x14ac:dyDescent="0.2">
      <c r="A602" s="102"/>
      <c r="B602" s="102"/>
      <c r="C602" s="102"/>
    </row>
    <row r="603" spans="1:3" x14ac:dyDescent="0.2">
      <c r="A603" s="102"/>
      <c r="B603" s="102"/>
      <c r="C603" s="102"/>
    </row>
    <row r="604" spans="1:3" x14ac:dyDescent="0.2">
      <c r="A604" s="102"/>
      <c r="B604" s="102"/>
      <c r="C604" s="102"/>
    </row>
    <row r="605" spans="1:3" x14ac:dyDescent="0.2">
      <c r="A605" s="102"/>
      <c r="B605" s="102"/>
      <c r="C605" s="102"/>
    </row>
    <row r="606" spans="1:3" x14ac:dyDescent="0.2">
      <c r="A606" s="102"/>
      <c r="B606" s="102"/>
      <c r="C606" s="102"/>
    </row>
    <row r="607" spans="1:3" x14ac:dyDescent="0.2">
      <c r="A607" s="102"/>
      <c r="B607" s="102"/>
      <c r="C607" s="102"/>
    </row>
    <row r="608" spans="1:3" x14ac:dyDescent="0.2">
      <c r="A608" s="102"/>
      <c r="B608" s="102"/>
      <c r="C608" s="102"/>
    </row>
    <row r="609" spans="1:3" x14ac:dyDescent="0.2">
      <c r="A609" s="102"/>
      <c r="B609" s="102"/>
      <c r="C609" s="102"/>
    </row>
    <row r="610" spans="1:3" x14ac:dyDescent="0.2">
      <c r="A610" s="102"/>
      <c r="B610" s="102"/>
      <c r="C610" s="102"/>
    </row>
    <row r="611" spans="1:3" x14ac:dyDescent="0.2">
      <c r="A611" s="102"/>
      <c r="B611" s="102"/>
      <c r="C611" s="102"/>
    </row>
    <row r="612" spans="1:3" x14ac:dyDescent="0.2">
      <c r="A612" s="102"/>
      <c r="B612" s="102"/>
      <c r="C612" s="102"/>
    </row>
    <row r="613" spans="1:3" x14ac:dyDescent="0.2">
      <c r="A613" s="102"/>
      <c r="B613" s="102"/>
      <c r="C613" s="102"/>
    </row>
    <row r="614" spans="1:3" x14ac:dyDescent="0.2">
      <c r="A614" s="102"/>
      <c r="B614" s="102"/>
      <c r="C614" s="102"/>
    </row>
    <row r="615" spans="1:3" x14ac:dyDescent="0.2">
      <c r="A615" s="102"/>
      <c r="B615" s="102"/>
      <c r="C615" s="102"/>
    </row>
    <row r="616" spans="1:3" x14ac:dyDescent="0.2">
      <c r="A616" s="102"/>
      <c r="B616" s="102"/>
      <c r="C616" s="102"/>
    </row>
    <row r="617" spans="1:3" x14ac:dyDescent="0.2">
      <c r="A617" s="102"/>
      <c r="B617" s="102"/>
      <c r="C617" s="102"/>
    </row>
    <row r="618" spans="1:3" x14ac:dyDescent="0.2">
      <c r="A618" s="102"/>
      <c r="B618" s="102"/>
      <c r="C618" s="102"/>
    </row>
    <row r="619" spans="1:3" x14ac:dyDescent="0.2">
      <c r="A619" s="102"/>
      <c r="B619" s="102"/>
      <c r="C619" s="102"/>
    </row>
    <row r="620" spans="1:3" x14ac:dyDescent="0.2">
      <c r="A620" s="102"/>
      <c r="B620" s="102"/>
      <c r="C620" s="102"/>
    </row>
    <row r="621" spans="1:3" x14ac:dyDescent="0.2">
      <c r="A621" s="102"/>
      <c r="B621" s="102"/>
      <c r="C621" s="102"/>
    </row>
    <row r="622" spans="1:3" x14ac:dyDescent="0.2">
      <c r="A622" s="102"/>
      <c r="B622" s="102"/>
      <c r="C622" s="102"/>
    </row>
    <row r="623" spans="1:3" x14ac:dyDescent="0.2">
      <c r="A623" s="102"/>
      <c r="B623" s="102"/>
      <c r="C623" s="102"/>
    </row>
    <row r="624" spans="1:3" x14ac:dyDescent="0.2">
      <c r="A624" s="102"/>
      <c r="B624" s="102"/>
      <c r="C624" s="102"/>
    </row>
    <row r="625" spans="1:3" x14ac:dyDescent="0.2">
      <c r="A625" s="102"/>
      <c r="B625" s="102"/>
      <c r="C625" s="102"/>
    </row>
    <row r="626" spans="1:3" x14ac:dyDescent="0.2">
      <c r="A626" s="102"/>
      <c r="B626" s="102"/>
      <c r="C626" s="102"/>
    </row>
    <row r="627" spans="1:3" x14ac:dyDescent="0.2">
      <c r="A627" s="102"/>
      <c r="B627" s="102"/>
      <c r="C627" s="102"/>
    </row>
    <row r="628" spans="1:3" x14ac:dyDescent="0.2">
      <c r="A628" s="102"/>
      <c r="B628" s="102"/>
      <c r="C628" s="102"/>
    </row>
    <row r="629" spans="1:3" x14ac:dyDescent="0.2">
      <c r="A629" s="102"/>
      <c r="B629" s="102"/>
      <c r="C629" s="102"/>
    </row>
    <row r="630" spans="1:3" x14ac:dyDescent="0.2">
      <c r="A630" s="102"/>
      <c r="B630" s="102"/>
      <c r="C630" s="102"/>
    </row>
    <row r="631" spans="1:3" x14ac:dyDescent="0.2">
      <c r="A631" s="102"/>
      <c r="B631" s="102"/>
      <c r="C631" s="102"/>
    </row>
    <row r="632" spans="1:3" x14ac:dyDescent="0.2">
      <c r="A632" s="102"/>
      <c r="B632" s="102"/>
      <c r="C632" s="102"/>
    </row>
    <row r="633" spans="1:3" x14ac:dyDescent="0.2">
      <c r="A633" s="102"/>
      <c r="B633" s="102"/>
      <c r="C633" s="102"/>
    </row>
    <row r="634" spans="1:3" x14ac:dyDescent="0.2">
      <c r="A634" s="102"/>
      <c r="B634" s="102"/>
      <c r="C634" s="102"/>
    </row>
    <row r="635" spans="1:3" x14ac:dyDescent="0.2">
      <c r="A635" s="102"/>
      <c r="B635" s="102"/>
      <c r="C635" s="102"/>
    </row>
    <row r="636" spans="1:3" x14ac:dyDescent="0.2">
      <c r="A636" s="102"/>
      <c r="B636" s="102"/>
      <c r="C636" s="102"/>
    </row>
    <row r="637" spans="1:3" x14ac:dyDescent="0.2">
      <c r="A637" s="102"/>
      <c r="B637" s="102"/>
      <c r="C637" s="102"/>
    </row>
    <row r="638" spans="1:3" x14ac:dyDescent="0.2">
      <c r="A638" s="102"/>
      <c r="B638" s="102"/>
      <c r="C638" s="102"/>
    </row>
    <row r="639" spans="1:3" x14ac:dyDescent="0.2">
      <c r="A639" s="102"/>
      <c r="B639" s="102"/>
      <c r="C639" s="102"/>
    </row>
    <row r="640" spans="1:3" x14ac:dyDescent="0.2">
      <c r="A640" s="102"/>
      <c r="B640" s="102"/>
      <c r="C640" s="102"/>
    </row>
    <row r="641" spans="1:3" x14ac:dyDescent="0.2">
      <c r="A641" s="102"/>
      <c r="B641" s="102"/>
      <c r="C641" s="102"/>
    </row>
    <row r="642" spans="1:3" x14ac:dyDescent="0.2">
      <c r="A642" s="102"/>
      <c r="B642" s="102"/>
      <c r="C642" s="102"/>
    </row>
    <row r="643" spans="1:3" x14ac:dyDescent="0.2">
      <c r="A643" s="102"/>
      <c r="B643" s="102"/>
      <c r="C643" s="102"/>
    </row>
    <row r="644" spans="1:3" x14ac:dyDescent="0.2">
      <c r="A644" s="102"/>
      <c r="B644" s="102"/>
      <c r="C644" s="102"/>
    </row>
    <row r="645" spans="1:3" x14ac:dyDescent="0.2">
      <c r="A645" s="102"/>
      <c r="B645" s="102"/>
      <c r="C645" s="102"/>
    </row>
    <row r="646" spans="1:3" x14ac:dyDescent="0.2">
      <c r="A646" s="102"/>
      <c r="B646" s="102"/>
      <c r="C646" s="102"/>
    </row>
    <row r="647" spans="1:3" x14ac:dyDescent="0.2">
      <c r="A647" s="102"/>
      <c r="B647" s="102"/>
      <c r="C647" s="102"/>
    </row>
    <row r="648" spans="1:3" x14ac:dyDescent="0.2">
      <c r="A648" s="102"/>
      <c r="B648" s="102"/>
      <c r="C648" s="102"/>
    </row>
    <row r="649" spans="1:3" x14ac:dyDescent="0.2">
      <c r="A649" s="102"/>
      <c r="B649" s="102"/>
      <c r="C649" s="102"/>
    </row>
    <row r="650" spans="1:3" x14ac:dyDescent="0.2">
      <c r="A650" s="102"/>
      <c r="B650" s="102"/>
      <c r="C650" s="102"/>
    </row>
    <row r="651" spans="1:3" x14ac:dyDescent="0.2">
      <c r="A651" s="102"/>
      <c r="B651" s="102"/>
      <c r="C651" s="102"/>
    </row>
    <row r="652" spans="1:3" x14ac:dyDescent="0.2">
      <c r="A652" s="102"/>
      <c r="B652" s="102"/>
      <c r="C652" s="102"/>
    </row>
    <row r="653" spans="1:3" x14ac:dyDescent="0.2">
      <c r="A653" s="102"/>
      <c r="B653" s="102"/>
      <c r="C653" s="102"/>
    </row>
    <row r="654" spans="1:3" x14ac:dyDescent="0.2">
      <c r="A654" s="102"/>
      <c r="B654" s="102"/>
      <c r="C654" s="102"/>
    </row>
    <row r="655" spans="1:3" x14ac:dyDescent="0.2">
      <c r="A655" s="102"/>
      <c r="B655" s="102"/>
      <c r="C655" s="102"/>
    </row>
    <row r="656" spans="1:3" x14ac:dyDescent="0.2">
      <c r="A656" s="102"/>
      <c r="B656" s="102"/>
      <c r="C656" s="102"/>
    </row>
    <row r="657" spans="1:3" x14ac:dyDescent="0.2">
      <c r="A657" s="102"/>
      <c r="B657" s="102"/>
      <c r="C657" s="102"/>
    </row>
    <row r="658" spans="1:3" x14ac:dyDescent="0.2">
      <c r="A658" s="102"/>
      <c r="B658" s="102"/>
      <c r="C658" s="102"/>
    </row>
    <row r="659" spans="1:3" x14ac:dyDescent="0.2">
      <c r="A659" s="102"/>
      <c r="B659" s="102"/>
      <c r="C659" s="102"/>
    </row>
    <row r="660" spans="1:3" x14ac:dyDescent="0.2">
      <c r="A660" s="102"/>
      <c r="B660" s="102"/>
      <c r="C660" s="102"/>
    </row>
    <row r="661" spans="1:3" x14ac:dyDescent="0.2">
      <c r="A661" s="102"/>
      <c r="B661" s="102"/>
      <c r="C661" s="102"/>
    </row>
    <row r="662" spans="1:3" x14ac:dyDescent="0.2">
      <c r="A662" s="102"/>
      <c r="B662" s="102"/>
      <c r="C662" s="102"/>
    </row>
    <row r="663" spans="1:3" x14ac:dyDescent="0.2">
      <c r="A663" s="102"/>
      <c r="B663" s="102"/>
      <c r="C663" s="102"/>
    </row>
    <row r="664" spans="1:3" x14ac:dyDescent="0.2">
      <c r="A664" s="102"/>
      <c r="B664" s="102"/>
      <c r="C664" s="102"/>
    </row>
  </sheetData>
  <sheetProtection algorithmName="SHA-512" hashValue="lKxD58GROlB3sbDRv/z0YpTfpElHuWy6MQXtubR6r0VOD/N9fEZzfBZEtn2QdnqZFaXWTkGrbqHmZH1Ce5GDWg==" saltValue="IVGYczunvV7StEsGUhigYA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G5:H5"/>
    <mergeCell ref="E5:F5"/>
  </mergeCells>
  <phoneticPr fontId="0" type="noConversion"/>
  <dataValidations count="4">
    <dataValidation type="list" allowBlank="1" showInputMessage="1" showErrorMessage="1" sqref="B13 B15" xr:uid="{00000000-0002-0000-0100-000000000000}">
      <formula1>"Ja,Nei"</formula1>
    </dataValidation>
    <dataValidation type="list" allowBlank="1" showInputMessage="1" showErrorMessage="1" sqref="B7" xr:uid="{00000000-0002-0000-0100-000001000000}">
      <formula1>"1,2,3,4,5A,5B,6,7"</formula1>
    </dataValidation>
    <dataValidation type="list" allowBlank="1" showInputMessage="1" showErrorMessage="1" sqref="B8 B11" xr:uid="{A388352A-B7DC-4968-AA93-FD7BF0742709}">
      <formula1>"-,Ja,Nei"</formula1>
    </dataValidation>
    <dataValidation type="list" allowBlank="1" showInputMessage="1" showErrorMessage="1" sqref="B10" xr:uid="{047A12B5-B8FB-4BEC-92AD-B5B250BB6373}">
      <formula1>"1,2,3,4,5"</formula1>
    </dataValidation>
  </dataValidations>
  <pageMargins left="0.5" right="0.3" top="0.7" bottom="0.7" header="0.5" footer="0.5"/>
  <pageSetup paperSize="9" scale="47" orientation="portrait" r:id="rId2"/>
  <headerFooter alignWithMargins="0">
    <oddHeader>&amp;A</oddHeader>
    <oddFooter>Side &amp;P</oddFooter>
  </headerFooter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E8CDB8-0121-42CB-B89C-8A676CCA03D3}">
          <x14:formula1>
            <xm:f>Satser!$M$131:$M$140</xm:f>
          </x14:formula1>
          <xm:sqref>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K293"/>
  <sheetViews>
    <sheetView topLeftCell="A44" workbookViewId="0">
      <selection activeCell="M88" sqref="M88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8" width="11.140625" customWidth="1"/>
    <col min="9" max="9" width="18.7109375" customWidth="1"/>
    <col min="10" max="10" width="15.42578125" customWidth="1"/>
    <col min="11" max="11" width="12" customWidth="1"/>
    <col min="12" max="12" width="25.7109375" customWidth="1"/>
    <col min="13" max="13" width="9.140625" customWidth="1"/>
    <col min="14" max="14" width="11" customWidth="1"/>
    <col min="23" max="23" width="22.140625" customWidth="1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ht="15" x14ac:dyDescent="0.25">
      <c r="A2" s="52"/>
      <c r="B2" s="33" t="s">
        <v>17</v>
      </c>
      <c r="C2" s="34"/>
      <c r="D2" s="34"/>
      <c r="E2" s="34"/>
      <c r="F2" s="34"/>
      <c r="G2" s="34"/>
      <c r="H2" s="34"/>
      <c r="I2" s="34"/>
      <c r="J2" s="54"/>
      <c r="L2" s="20" t="s">
        <v>47</v>
      </c>
      <c r="M2" s="19">
        <f>Utslag!B42</f>
        <v>0</v>
      </c>
      <c r="N2" s="21" t="s">
        <v>3</v>
      </c>
      <c r="W2">
        <v>2022</v>
      </c>
      <c r="X2" s="144" t="s">
        <v>282</v>
      </c>
    </row>
    <row r="3" spans="1:24" ht="15" x14ac:dyDescent="0.25">
      <c r="A3" s="59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202" t="s">
        <v>329</v>
      </c>
      <c r="H3" s="202" t="s">
        <v>330</v>
      </c>
      <c r="I3" s="3">
        <v>6</v>
      </c>
      <c r="J3" s="78">
        <v>7</v>
      </c>
      <c r="K3" s="291">
        <v>1</v>
      </c>
      <c r="L3" s="20" t="s">
        <v>52</v>
      </c>
      <c r="M3" s="19">
        <f>Utslag!B41</f>
        <v>0</v>
      </c>
      <c r="N3" s="21" t="s">
        <v>3</v>
      </c>
      <c r="W3" s="144" t="s">
        <v>283</v>
      </c>
    </row>
    <row r="4" spans="1:24" x14ac:dyDescent="0.2">
      <c r="A4" s="59" t="s">
        <v>47</v>
      </c>
      <c r="B4" s="144" t="s">
        <v>223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92">
        <v>2</v>
      </c>
      <c r="L4" s="1"/>
      <c r="M4" s="1"/>
      <c r="W4" s="144" t="s">
        <v>262</v>
      </c>
      <c r="X4" s="145">
        <v>0.5</v>
      </c>
    </row>
    <row r="5" spans="1:24" x14ac:dyDescent="0.2">
      <c r="A5" s="59" t="s">
        <v>50</v>
      </c>
      <c r="B5" s="144" t="s">
        <v>349</v>
      </c>
      <c r="C5" s="28">
        <v>75</v>
      </c>
      <c r="D5" s="28">
        <v>75</v>
      </c>
      <c r="E5" s="28">
        <v>75</v>
      </c>
      <c r="F5" s="28">
        <v>75</v>
      </c>
      <c r="G5" s="28">
        <v>75</v>
      </c>
      <c r="H5" s="28">
        <v>75</v>
      </c>
      <c r="I5" s="28">
        <v>75</v>
      </c>
      <c r="J5" s="28">
        <v>75</v>
      </c>
      <c r="K5" s="293">
        <v>3</v>
      </c>
      <c r="L5" s="208" t="s">
        <v>213</v>
      </c>
      <c r="M5" s="333">
        <f>M3*0.6-M3*0.6</f>
        <v>0</v>
      </c>
      <c r="W5" s="144" t="s">
        <v>284</v>
      </c>
      <c r="X5" s="145">
        <v>0.5</v>
      </c>
    </row>
    <row r="6" spans="1:24" x14ac:dyDescent="0.2">
      <c r="A6" s="59"/>
      <c r="B6" s="144" t="s">
        <v>350</v>
      </c>
      <c r="C6" s="28">
        <v>75</v>
      </c>
      <c r="D6" s="28">
        <v>75</v>
      </c>
      <c r="E6" s="28">
        <v>75</v>
      </c>
      <c r="F6" s="28">
        <v>75</v>
      </c>
      <c r="G6" s="28">
        <v>75</v>
      </c>
      <c r="H6" s="28">
        <v>75</v>
      </c>
      <c r="I6" s="28">
        <v>75</v>
      </c>
      <c r="J6" s="28">
        <v>75</v>
      </c>
      <c r="K6" s="291">
        <v>4</v>
      </c>
      <c r="L6" s="208"/>
      <c r="M6" s="209"/>
      <c r="W6" s="144"/>
      <c r="X6" s="145"/>
    </row>
    <row r="7" spans="1:24" x14ac:dyDescent="0.2">
      <c r="A7" s="59"/>
      <c r="B7" s="144" t="s">
        <v>351</v>
      </c>
      <c r="C7" s="28">
        <v>75</v>
      </c>
      <c r="D7" s="28">
        <v>75</v>
      </c>
      <c r="E7" s="28">
        <v>75</v>
      </c>
      <c r="F7" s="28">
        <v>75</v>
      </c>
      <c r="G7" s="28">
        <v>75</v>
      </c>
      <c r="H7" s="28">
        <v>75</v>
      </c>
      <c r="I7" s="28">
        <v>75</v>
      </c>
      <c r="J7" s="28">
        <v>75</v>
      </c>
      <c r="K7" s="292">
        <v>5</v>
      </c>
      <c r="L7" s="208"/>
      <c r="M7" s="209"/>
      <c r="W7" s="144"/>
      <c r="X7" s="145"/>
    </row>
    <row r="8" spans="1:24" x14ac:dyDescent="0.2">
      <c r="A8" s="59" t="s">
        <v>48</v>
      </c>
      <c r="B8" s="144" t="s">
        <v>352</v>
      </c>
      <c r="C8" s="244">
        <v>0</v>
      </c>
      <c r="D8" s="244">
        <v>0</v>
      </c>
      <c r="E8" s="244">
        <v>0</v>
      </c>
      <c r="F8" s="244">
        <v>0</v>
      </c>
      <c r="G8" s="244">
        <v>0</v>
      </c>
      <c r="H8" s="244">
        <v>0</v>
      </c>
      <c r="I8" s="244">
        <v>0</v>
      </c>
      <c r="J8" s="244">
        <v>0</v>
      </c>
      <c r="K8" s="293">
        <v>6</v>
      </c>
      <c r="L8" s="208" t="s">
        <v>217</v>
      </c>
      <c r="M8" s="210">
        <f>HLOOKUP(Utslag!B7,M15:T19,5)</f>
        <v>315</v>
      </c>
      <c r="W8" s="144" t="s">
        <v>264</v>
      </c>
      <c r="X8" s="145">
        <v>0.15</v>
      </c>
    </row>
    <row r="9" spans="1:24" x14ac:dyDescent="0.2">
      <c r="A9" s="59"/>
      <c r="B9" s="144" t="s">
        <v>353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91">
        <v>7</v>
      </c>
      <c r="L9" s="208"/>
      <c r="M9" s="210"/>
      <c r="W9" s="144"/>
      <c r="X9" s="145"/>
    </row>
    <row r="10" spans="1:24" x14ac:dyDescent="0.2">
      <c r="A10" s="59" t="s">
        <v>61</v>
      </c>
      <c r="B10" s="144" t="s">
        <v>354</v>
      </c>
      <c r="C10" s="28">
        <v>75</v>
      </c>
      <c r="D10" s="28">
        <v>75</v>
      </c>
      <c r="E10" s="28">
        <v>75</v>
      </c>
      <c r="F10" s="28">
        <v>75</v>
      </c>
      <c r="G10" s="28">
        <v>75</v>
      </c>
      <c r="H10" s="28">
        <v>75</v>
      </c>
      <c r="I10" s="28">
        <v>75</v>
      </c>
      <c r="J10" s="28">
        <v>75</v>
      </c>
      <c r="K10" s="292">
        <v>8</v>
      </c>
      <c r="L10" s="208" t="s">
        <v>216</v>
      </c>
      <c r="M10" s="210">
        <f>M5*M8</f>
        <v>0</v>
      </c>
      <c r="X10" s="145"/>
    </row>
    <row r="11" spans="1:24" x14ac:dyDescent="0.2">
      <c r="A11" s="59"/>
      <c r="B11" s="144" t="s">
        <v>355</v>
      </c>
      <c r="C11" s="28">
        <v>75</v>
      </c>
      <c r="D11" s="28">
        <v>75</v>
      </c>
      <c r="E11" s="28">
        <v>75</v>
      </c>
      <c r="F11" s="28">
        <v>75</v>
      </c>
      <c r="G11" s="28">
        <v>75</v>
      </c>
      <c r="H11" s="28">
        <v>75</v>
      </c>
      <c r="I11" s="28">
        <v>75</v>
      </c>
      <c r="J11" s="28">
        <v>75</v>
      </c>
      <c r="K11" s="293">
        <v>9</v>
      </c>
      <c r="L11" s="208"/>
      <c r="M11" s="210"/>
      <c r="X11" s="145"/>
    </row>
    <row r="12" spans="1:24" x14ac:dyDescent="0.2">
      <c r="A12" s="59"/>
      <c r="B12" s="144" t="s">
        <v>356</v>
      </c>
      <c r="C12" s="28">
        <v>75</v>
      </c>
      <c r="D12" s="28">
        <v>75</v>
      </c>
      <c r="E12" s="28">
        <v>75</v>
      </c>
      <c r="F12" s="28">
        <v>75</v>
      </c>
      <c r="G12" s="28">
        <v>75</v>
      </c>
      <c r="H12" s="28">
        <v>75</v>
      </c>
      <c r="I12" s="28">
        <v>75</v>
      </c>
      <c r="J12" s="28">
        <v>75</v>
      </c>
      <c r="K12" s="291">
        <v>10</v>
      </c>
      <c r="L12" s="208"/>
      <c r="M12" s="210"/>
      <c r="X12" s="145"/>
    </row>
    <row r="13" spans="1:24" x14ac:dyDescent="0.2">
      <c r="A13" s="59" t="s">
        <v>142</v>
      </c>
      <c r="B13" s="144" t="s">
        <v>357</v>
      </c>
      <c r="C13" s="28">
        <v>200</v>
      </c>
      <c r="D13" s="28">
        <v>200</v>
      </c>
      <c r="E13" s="28">
        <v>200</v>
      </c>
      <c r="F13" s="28">
        <v>200</v>
      </c>
      <c r="G13" s="28">
        <v>200</v>
      </c>
      <c r="H13" s="28">
        <v>200</v>
      </c>
      <c r="I13" s="28">
        <v>200</v>
      </c>
      <c r="J13" s="28">
        <v>200</v>
      </c>
      <c r="K13" s="292">
        <v>11</v>
      </c>
      <c r="W13" s="144" t="s">
        <v>65</v>
      </c>
      <c r="X13" s="145"/>
    </row>
    <row r="14" spans="1:24" x14ac:dyDescent="0.2">
      <c r="A14" s="59"/>
      <c r="B14" s="144" t="s">
        <v>358</v>
      </c>
      <c r="C14" s="28">
        <v>200</v>
      </c>
      <c r="D14" s="28">
        <v>200</v>
      </c>
      <c r="E14" s="28">
        <v>200</v>
      </c>
      <c r="F14" s="28">
        <v>200</v>
      </c>
      <c r="G14" s="28">
        <v>200</v>
      </c>
      <c r="H14" s="28">
        <v>200</v>
      </c>
      <c r="I14" s="28">
        <v>200</v>
      </c>
      <c r="J14" s="28">
        <v>200</v>
      </c>
      <c r="K14" s="293">
        <v>12</v>
      </c>
      <c r="W14" s="144"/>
      <c r="X14" s="145"/>
    </row>
    <row r="15" spans="1:24" x14ac:dyDescent="0.2">
      <c r="A15" s="59"/>
      <c r="B15" s="144" t="s">
        <v>359</v>
      </c>
      <c r="C15" s="28">
        <v>200</v>
      </c>
      <c r="D15" s="28">
        <v>200</v>
      </c>
      <c r="E15" s="28">
        <v>200</v>
      </c>
      <c r="F15" s="28">
        <v>200</v>
      </c>
      <c r="G15" s="28">
        <v>200</v>
      </c>
      <c r="H15" s="28">
        <v>200</v>
      </c>
      <c r="I15" s="28">
        <v>200</v>
      </c>
      <c r="J15" s="28">
        <v>200</v>
      </c>
      <c r="K15" s="291">
        <v>13</v>
      </c>
      <c r="L15" s="210"/>
      <c r="M15" s="211">
        <v>1</v>
      </c>
      <c r="N15" s="211">
        <v>2</v>
      </c>
      <c r="O15" s="211">
        <v>3</v>
      </c>
      <c r="P15" s="211">
        <v>4</v>
      </c>
      <c r="Q15" s="294" t="s">
        <v>329</v>
      </c>
      <c r="R15" s="294" t="s">
        <v>330</v>
      </c>
      <c r="S15" s="211">
        <v>6</v>
      </c>
      <c r="T15" s="212">
        <v>7</v>
      </c>
      <c r="U15" s="213"/>
      <c r="W15" s="144"/>
      <c r="X15" s="145"/>
    </row>
    <row r="16" spans="1:24" x14ac:dyDescent="0.2">
      <c r="A16" s="60" t="s">
        <v>140</v>
      </c>
      <c r="B16" s="202" t="s">
        <v>360</v>
      </c>
      <c r="C16" s="28">
        <v>200</v>
      </c>
      <c r="D16" s="28">
        <v>200</v>
      </c>
      <c r="E16" s="28">
        <v>200</v>
      </c>
      <c r="F16" s="28">
        <v>200</v>
      </c>
      <c r="G16" s="28">
        <v>200</v>
      </c>
      <c r="H16" s="28">
        <v>200</v>
      </c>
      <c r="I16" s="28">
        <v>200</v>
      </c>
      <c r="J16" s="28">
        <v>200</v>
      </c>
      <c r="K16" s="292">
        <v>14</v>
      </c>
      <c r="L16" s="210"/>
      <c r="M16" s="213"/>
      <c r="N16" s="213"/>
      <c r="O16" s="213"/>
      <c r="P16" s="213"/>
      <c r="Q16" s="213"/>
      <c r="R16" s="213"/>
      <c r="S16" s="213"/>
      <c r="T16" s="213"/>
      <c r="U16" s="213"/>
      <c r="W16" s="144" t="s">
        <v>4</v>
      </c>
      <c r="X16" s="145">
        <v>1430</v>
      </c>
    </row>
    <row r="17" spans="1:24" x14ac:dyDescent="0.2">
      <c r="A17" s="60"/>
      <c r="B17" s="202" t="s">
        <v>361</v>
      </c>
      <c r="C17" s="28">
        <v>200</v>
      </c>
      <c r="D17" s="28">
        <v>200</v>
      </c>
      <c r="E17" s="28">
        <v>200</v>
      </c>
      <c r="F17" s="28">
        <v>200</v>
      </c>
      <c r="G17" s="28">
        <v>200</v>
      </c>
      <c r="H17" s="28">
        <v>200</v>
      </c>
      <c r="I17" s="28">
        <v>200</v>
      </c>
      <c r="J17" s="28">
        <v>200</v>
      </c>
      <c r="K17" s="293">
        <v>15</v>
      </c>
      <c r="L17" s="208" t="s">
        <v>214</v>
      </c>
      <c r="M17" s="214">
        <v>50</v>
      </c>
      <c r="N17" s="214">
        <v>50</v>
      </c>
      <c r="O17" s="214">
        <v>145</v>
      </c>
      <c r="P17" s="214">
        <v>165</v>
      </c>
      <c r="Q17" s="214">
        <v>360</v>
      </c>
      <c r="R17" s="214">
        <v>405</v>
      </c>
      <c r="S17" s="214">
        <v>420</v>
      </c>
      <c r="T17" s="214">
        <v>466</v>
      </c>
      <c r="U17" s="214"/>
      <c r="W17" s="144"/>
      <c r="X17" s="145"/>
    </row>
    <row r="18" spans="1:24" x14ac:dyDescent="0.2">
      <c r="A18" s="60"/>
      <c r="B18" s="202" t="s">
        <v>362</v>
      </c>
      <c r="C18" s="28">
        <v>200</v>
      </c>
      <c r="D18" s="28">
        <v>200</v>
      </c>
      <c r="E18" s="28">
        <v>200</v>
      </c>
      <c r="F18" s="28">
        <v>200</v>
      </c>
      <c r="G18" s="28">
        <v>200</v>
      </c>
      <c r="H18" s="28">
        <v>200</v>
      </c>
      <c r="I18" s="28">
        <v>200</v>
      </c>
      <c r="J18" s="28">
        <v>200</v>
      </c>
      <c r="K18" s="291">
        <v>16</v>
      </c>
      <c r="L18" s="208" t="s">
        <v>215</v>
      </c>
      <c r="M18" s="214">
        <v>265</v>
      </c>
      <c r="N18" s="214">
        <v>265</v>
      </c>
      <c r="O18" s="214">
        <v>265</v>
      </c>
      <c r="P18" s="214">
        <v>265</v>
      </c>
      <c r="Q18" s="214">
        <v>265</v>
      </c>
      <c r="R18" s="214">
        <v>265</v>
      </c>
      <c r="S18" s="214">
        <v>265</v>
      </c>
      <c r="T18" s="214">
        <v>265</v>
      </c>
      <c r="U18" s="214"/>
      <c r="W18" s="144"/>
      <c r="X18" s="145"/>
    </row>
    <row r="19" spans="1:24" x14ac:dyDescent="0.2">
      <c r="A19" s="205" t="s">
        <v>77</v>
      </c>
      <c r="B19" s="51"/>
      <c r="C19" s="44">
        <v>20</v>
      </c>
      <c r="D19" s="206">
        <f>$C$19</f>
        <v>20</v>
      </c>
      <c r="E19" s="206">
        <f t="shared" ref="E19:I19" si="0">$C$19</f>
        <v>20</v>
      </c>
      <c r="F19" s="206">
        <f t="shared" si="0"/>
        <v>20</v>
      </c>
      <c r="G19" s="206">
        <f t="shared" si="0"/>
        <v>20</v>
      </c>
      <c r="H19" s="206">
        <f t="shared" si="0"/>
        <v>20</v>
      </c>
      <c r="I19" s="206">
        <f t="shared" si="0"/>
        <v>20</v>
      </c>
      <c r="J19" s="206">
        <f>$C$19</f>
        <v>20</v>
      </c>
      <c r="K19" s="292">
        <v>17</v>
      </c>
      <c r="L19" s="208" t="s">
        <v>155</v>
      </c>
      <c r="M19" s="210">
        <f>M17+M18</f>
        <v>315</v>
      </c>
      <c r="N19" s="210">
        <f t="shared" ref="N19:Q19" si="1">N17+N18</f>
        <v>315</v>
      </c>
      <c r="O19" s="210">
        <f t="shared" si="1"/>
        <v>410</v>
      </c>
      <c r="P19" s="210">
        <f t="shared" si="1"/>
        <v>430</v>
      </c>
      <c r="Q19" s="210">
        <f t="shared" si="1"/>
        <v>625</v>
      </c>
      <c r="R19" s="210">
        <f t="shared" ref="R19" si="2">R17+R18</f>
        <v>670</v>
      </c>
      <c r="S19" s="210">
        <f>S17+S18</f>
        <v>685</v>
      </c>
      <c r="T19" s="210">
        <f>T17+T18</f>
        <v>731</v>
      </c>
      <c r="U19" s="210"/>
      <c r="W19" s="144" t="s">
        <v>16</v>
      </c>
      <c r="X19" s="145">
        <v>800</v>
      </c>
    </row>
    <row r="20" spans="1:24" x14ac:dyDescent="0.2">
      <c r="A20" s="1"/>
      <c r="B20" s="2"/>
      <c r="C20" s="1"/>
      <c r="D20" s="1"/>
      <c r="E20" s="1"/>
      <c r="F20" s="1"/>
      <c r="G20" s="1"/>
      <c r="H20" s="1"/>
      <c r="I20" s="1"/>
      <c r="J20" s="1"/>
      <c r="W20" s="144" t="s">
        <v>6</v>
      </c>
      <c r="X20" s="145">
        <v>179</v>
      </c>
    </row>
    <row r="21" spans="1:24" x14ac:dyDescent="0.2">
      <c r="A21" s="52"/>
      <c r="B21" s="33" t="s">
        <v>141</v>
      </c>
      <c r="C21" s="34"/>
      <c r="D21" s="34"/>
      <c r="E21" s="54"/>
      <c r="F21" s="1"/>
      <c r="G21" s="1"/>
      <c r="H21" s="1"/>
      <c r="L21" s="146">
        <f>HLOOKUP(Utslag!$B$7,$L$15:$T$19,5)</f>
        <v>315</v>
      </c>
      <c r="W21" s="144" t="s">
        <v>7</v>
      </c>
      <c r="X21" s="145">
        <v>450</v>
      </c>
    </row>
    <row r="22" spans="1:24" x14ac:dyDescent="0.2">
      <c r="A22" s="179" t="s">
        <v>77</v>
      </c>
      <c r="B22" s="177" t="s">
        <v>223</v>
      </c>
      <c r="C22" s="242">
        <f>(Utslag!$B$42+Utslag!$B$43+Utslag!$B$45+Utslag!$B$46+Utslag!$B$47+Utslag!$B$48)+(Utslag!$B$41*0.7)</f>
        <v>0</v>
      </c>
      <c r="D22" s="231">
        <f>C19</f>
        <v>20</v>
      </c>
      <c r="E22" s="207">
        <f>(C22*D22)+M10</f>
        <v>0</v>
      </c>
      <c r="F22" s="1"/>
      <c r="G22" s="1"/>
      <c r="H22" s="1"/>
      <c r="W22" s="144" t="s">
        <v>8</v>
      </c>
      <c r="X22" s="145">
        <v>200</v>
      </c>
    </row>
    <row r="23" spans="1:24" x14ac:dyDescent="0.2">
      <c r="A23" s="59" t="s">
        <v>47</v>
      </c>
      <c r="B23" s="177" t="s">
        <v>223</v>
      </c>
      <c r="C23" s="243">
        <f>M2+(M3*0.7)</f>
        <v>0</v>
      </c>
      <c r="D23" s="36">
        <f>HLOOKUP(Utslag!B7,AKkorn2,2)</f>
        <v>0</v>
      </c>
      <c r="E23" s="65">
        <f>C23*D23</f>
        <v>0</v>
      </c>
      <c r="F23" s="30"/>
      <c r="G23" s="30"/>
      <c r="H23" s="1"/>
      <c r="W23" s="144" t="s">
        <v>10</v>
      </c>
      <c r="X23" s="145">
        <v>75</v>
      </c>
    </row>
    <row r="24" spans="1:24" x14ac:dyDescent="0.2">
      <c r="A24" s="59" t="s">
        <v>50</v>
      </c>
      <c r="B24" s="144" t="s">
        <v>349</v>
      </c>
      <c r="C24" s="178">
        <f>IF(Utslag!$B$45&lt;301,Utslag!$B$45,300)</f>
        <v>0</v>
      </c>
      <c r="D24" s="36">
        <f>HLOOKUP(Utslag!$B$7,AKkorn2,3)</f>
        <v>75</v>
      </c>
      <c r="E24" s="65">
        <f t="shared" ref="E24" si="3">C24*D24</f>
        <v>0</v>
      </c>
      <c r="F24" s="30"/>
      <c r="G24" s="30"/>
      <c r="H24" s="1"/>
      <c r="W24" s="144" t="s">
        <v>11</v>
      </c>
      <c r="X24" s="145">
        <v>7</v>
      </c>
    </row>
    <row r="25" spans="1:24" x14ac:dyDescent="0.2">
      <c r="A25" s="59"/>
      <c r="B25" s="144" t="s">
        <v>350</v>
      </c>
      <c r="C25" s="290">
        <f>IF(Utslag!$B$45&lt;301,0,IF(Utslag!$B$45&lt;601,Utslag!$B$45-300,300))</f>
        <v>0</v>
      </c>
      <c r="D25" s="36">
        <f>HLOOKUP(Utslag!$B$7,AKkorn2,4)</f>
        <v>75</v>
      </c>
      <c r="E25" s="65">
        <f t="shared" ref="E25" si="4">C25*D25</f>
        <v>0</v>
      </c>
      <c r="F25" s="30"/>
      <c r="G25" s="30"/>
      <c r="H25" s="1"/>
      <c r="W25" s="144"/>
      <c r="X25" s="145"/>
    </row>
    <row r="26" spans="1:24" x14ac:dyDescent="0.2">
      <c r="A26" s="59"/>
      <c r="B26" s="144" t="s">
        <v>351</v>
      </c>
      <c r="C26" s="290">
        <f>IF(Utslag!$B$45&gt;600,Utslag!$B$45-600,0)</f>
        <v>0</v>
      </c>
      <c r="D26" s="36">
        <f>HLOOKUP(Utslag!$B$7,AKkorn2,5)</f>
        <v>75</v>
      </c>
      <c r="E26" s="65">
        <f t="shared" ref="E26:E28" si="5">C26*D26</f>
        <v>0</v>
      </c>
      <c r="F26" s="30"/>
      <c r="G26" s="30"/>
      <c r="H26" s="1"/>
      <c r="W26" s="144"/>
      <c r="X26" s="145"/>
    </row>
    <row r="27" spans="1:24" x14ac:dyDescent="0.2">
      <c r="A27" s="59" t="s">
        <v>48</v>
      </c>
      <c r="B27" s="144" t="s">
        <v>352</v>
      </c>
      <c r="C27" s="178">
        <f>IF(Utslag!$B$43&lt;501,Utslag!$B$43,500)</f>
        <v>0</v>
      </c>
      <c r="D27" s="36">
        <f>HLOOKUP(Utslag!$B$7,AKkorn2,6)</f>
        <v>0</v>
      </c>
      <c r="E27" s="65">
        <f t="shared" si="5"/>
        <v>0</v>
      </c>
      <c r="F27" s="30"/>
      <c r="G27" s="30"/>
      <c r="H27" s="1"/>
      <c r="W27" s="144" t="s">
        <v>126</v>
      </c>
      <c r="X27" s="145">
        <v>7</v>
      </c>
    </row>
    <row r="28" spans="1:24" x14ac:dyDescent="0.2">
      <c r="A28" s="59"/>
      <c r="B28" s="144" t="s">
        <v>353</v>
      </c>
      <c r="C28" s="290">
        <f>IF(Utslag!$B$43&gt;500,Utslag!$B$43-500,0)</f>
        <v>0</v>
      </c>
      <c r="D28" s="36">
        <f>HLOOKUP(Utslag!$B$7,AKkorn2,7)</f>
        <v>0</v>
      </c>
      <c r="E28" s="65">
        <f t="shared" si="5"/>
        <v>0</v>
      </c>
      <c r="F28" s="30"/>
      <c r="G28" s="30"/>
      <c r="H28" s="1"/>
      <c r="W28" s="144"/>
      <c r="X28" s="145"/>
    </row>
    <row r="29" spans="1:24" x14ac:dyDescent="0.2">
      <c r="A29" s="59" t="s">
        <v>61</v>
      </c>
      <c r="B29" s="144" t="s">
        <v>354</v>
      </c>
      <c r="C29" s="178">
        <f>IF(Utslag!$B$46&lt;201,Utslag!$B$46,200)</f>
        <v>0</v>
      </c>
      <c r="D29" s="36">
        <f>HLOOKUP(Utslag!$B$7,AKkorn2,8)</f>
        <v>75</v>
      </c>
      <c r="E29" s="65">
        <f t="shared" ref="E29:E31" si="6">C29*D29</f>
        <v>0</v>
      </c>
      <c r="F29" s="32"/>
      <c r="G29" s="32"/>
      <c r="H29" s="1"/>
      <c r="W29" s="144" t="s">
        <v>285</v>
      </c>
      <c r="X29" s="145">
        <v>0.5</v>
      </c>
    </row>
    <row r="30" spans="1:24" x14ac:dyDescent="0.2">
      <c r="A30" s="59"/>
      <c r="B30" s="144" t="s">
        <v>355</v>
      </c>
      <c r="C30" s="290">
        <f>IF(Utslag!$B$46&lt;201,0,IF(Utslag!$B$46&lt;401,Utslag!$B$46-200,200))</f>
        <v>0</v>
      </c>
      <c r="D30" s="36">
        <f>HLOOKUP(Utslag!$B$7,AKkorn2,9)</f>
        <v>75</v>
      </c>
      <c r="E30" s="65">
        <f t="shared" si="6"/>
        <v>0</v>
      </c>
      <c r="F30" s="32"/>
      <c r="G30" s="32"/>
      <c r="H30" s="1"/>
      <c r="W30" s="144"/>
      <c r="X30" s="145"/>
    </row>
    <row r="31" spans="1:24" x14ac:dyDescent="0.2">
      <c r="A31" s="59"/>
      <c r="B31" s="144" t="s">
        <v>356</v>
      </c>
      <c r="C31" s="290">
        <f>IF(Utslag!$B$46&gt;400,Utslag!$B$46-400,0)</f>
        <v>0</v>
      </c>
      <c r="D31" s="36">
        <f>HLOOKUP(Utslag!$B$7,AKkorn2,10)</f>
        <v>75</v>
      </c>
      <c r="E31" s="65">
        <f t="shared" si="6"/>
        <v>0</v>
      </c>
      <c r="F31" s="32"/>
      <c r="G31" s="32"/>
      <c r="H31" s="1"/>
      <c r="W31" s="144"/>
      <c r="X31" s="145"/>
    </row>
    <row r="32" spans="1:24" x14ac:dyDescent="0.2">
      <c r="A32" s="59" t="s">
        <v>142</v>
      </c>
      <c r="B32" s="144" t="s">
        <v>357</v>
      </c>
      <c r="C32" s="178">
        <f>IF(Utslag!$B$47&lt;51,Utslag!$B$47,50)</f>
        <v>0</v>
      </c>
      <c r="D32" s="36">
        <f>HLOOKUP(Utslag!$B$7,AKkorn2,11)</f>
        <v>200</v>
      </c>
      <c r="E32" s="65">
        <f t="shared" ref="E32:E34" si="7">C32*D32</f>
        <v>0</v>
      </c>
      <c r="F32" s="32"/>
      <c r="G32" s="32"/>
      <c r="H32" s="1"/>
      <c r="I32" s="1"/>
      <c r="W32" s="144" t="s">
        <v>286</v>
      </c>
      <c r="X32" s="145">
        <v>3</v>
      </c>
    </row>
    <row r="33" spans="1:24" x14ac:dyDescent="0.2">
      <c r="A33" s="59"/>
      <c r="B33" s="144" t="s">
        <v>358</v>
      </c>
      <c r="C33" s="290">
        <f>IF(Utslag!$B$47&lt;51,0,IF(Utslag!$B$47&lt;101,Utslag!$B$47-50,50))</f>
        <v>0</v>
      </c>
      <c r="D33" s="36">
        <f>HLOOKUP(Utslag!$B$7,AKkorn2,12)</f>
        <v>200</v>
      </c>
      <c r="E33" s="65">
        <f t="shared" si="7"/>
        <v>0</v>
      </c>
      <c r="F33" s="32"/>
      <c r="G33" s="32"/>
      <c r="H33" s="1"/>
      <c r="I33" s="1"/>
      <c r="W33" s="144"/>
      <c r="X33" s="145"/>
    </row>
    <row r="34" spans="1:24" x14ac:dyDescent="0.2">
      <c r="A34" s="59"/>
      <c r="B34" s="144" t="s">
        <v>359</v>
      </c>
      <c r="C34" s="290">
        <f>IF(Utslag!$B$47&gt;100,Utslag!$B$47-100,0)</f>
        <v>0</v>
      </c>
      <c r="D34" s="36">
        <f>HLOOKUP(Utslag!$B$7,AKkorn2,13)</f>
        <v>200</v>
      </c>
      <c r="E34" s="65">
        <f t="shared" si="7"/>
        <v>0</v>
      </c>
      <c r="F34" s="32"/>
      <c r="G34" s="32"/>
      <c r="H34" s="1"/>
      <c r="I34" s="1"/>
      <c r="W34" s="144"/>
      <c r="X34" s="145"/>
    </row>
    <row r="35" spans="1:24" x14ac:dyDescent="0.2">
      <c r="A35" s="59" t="s">
        <v>140</v>
      </c>
      <c r="B35" s="202" t="s">
        <v>360</v>
      </c>
      <c r="C35" s="178">
        <f>IF(Utslag!$B$48&lt;101,Utslag!$B$48,100)</f>
        <v>0</v>
      </c>
      <c r="D35" s="36">
        <f>HLOOKUP(Utslag!$B$7,AKkorn2,14)</f>
        <v>200</v>
      </c>
      <c r="E35" s="65">
        <f t="shared" ref="E35:E37" si="8">C35*D35</f>
        <v>0</v>
      </c>
      <c r="H35" s="1"/>
      <c r="W35" s="144" t="s">
        <v>133</v>
      </c>
      <c r="X35" s="145">
        <v>0.85</v>
      </c>
    </row>
    <row r="36" spans="1:24" x14ac:dyDescent="0.2">
      <c r="A36" s="59"/>
      <c r="B36" s="202" t="s">
        <v>361</v>
      </c>
      <c r="C36" s="290">
        <f>IF(Utslag!$B$48&lt;101,0,IF(Utslag!$B$48&lt;201,Utslag!$B$48-100,100))</f>
        <v>0</v>
      </c>
      <c r="D36" s="36">
        <f>HLOOKUP(Utslag!$B$7,AKkorn2,15)</f>
        <v>200</v>
      </c>
      <c r="E36" s="65">
        <f t="shared" si="8"/>
        <v>0</v>
      </c>
      <c r="H36" s="1"/>
      <c r="W36" s="144"/>
      <c r="X36" s="145"/>
    </row>
    <row r="37" spans="1:24" x14ac:dyDescent="0.2">
      <c r="A37" s="59"/>
      <c r="B37" s="202" t="s">
        <v>362</v>
      </c>
      <c r="C37" s="290">
        <f>IF(Utslag!$B$48&gt;200,Utslag!$B$48-200,0)</f>
        <v>0</v>
      </c>
      <c r="D37" s="36">
        <f>HLOOKUP(Utslag!$B$7,AKkorn2,16)</f>
        <v>200</v>
      </c>
      <c r="E37" s="65">
        <f t="shared" si="8"/>
        <v>0</v>
      </c>
      <c r="H37" s="1"/>
      <c r="W37" s="144"/>
      <c r="X37" s="145"/>
    </row>
    <row r="38" spans="1:24" x14ac:dyDescent="0.2">
      <c r="A38" s="68"/>
      <c r="B38" s="4" t="s">
        <v>122</v>
      </c>
      <c r="C38" s="3"/>
      <c r="D38" s="3"/>
      <c r="E38" s="70">
        <f>SUM(E22:E37)</f>
        <v>0</v>
      </c>
      <c r="F38" s="2"/>
      <c r="G38" s="2"/>
      <c r="H38" s="1"/>
      <c r="W38" s="144" t="s">
        <v>287</v>
      </c>
      <c r="X38" s="145">
        <v>10</v>
      </c>
    </row>
    <row r="39" spans="1:24" x14ac:dyDescent="0.2">
      <c r="B39" s="2"/>
      <c r="C39" s="1"/>
      <c r="D39" s="1"/>
      <c r="E39" s="32"/>
      <c r="F39" s="2"/>
      <c r="G39" s="2"/>
      <c r="H39" s="1"/>
      <c r="L39" t="s">
        <v>241</v>
      </c>
      <c r="W39" s="144" t="s">
        <v>205</v>
      </c>
      <c r="X39" s="145">
        <v>200</v>
      </c>
    </row>
    <row r="40" spans="1:24" x14ac:dyDescent="0.2">
      <c r="B40" s="2"/>
      <c r="C40" s="1"/>
      <c r="D40" s="1"/>
      <c r="E40" s="32"/>
      <c r="F40" s="2"/>
      <c r="G40" s="2"/>
      <c r="H40" s="1"/>
      <c r="L40" t="s">
        <v>18</v>
      </c>
      <c r="M40">
        <v>1</v>
      </c>
      <c r="N40">
        <v>2</v>
      </c>
      <c r="O40">
        <v>3</v>
      </c>
      <c r="P40">
        <v>4</v>
      </c>
      <c r="Q40" s="144" t="s">
        <v>329</v>
      </c>
      <c r="R40" s="144" t="s">
        <v>330</v>
      </c>
      <c r="S40" s="144">
        <v>6</v>
      </c>
      <c r="X40" s="145"/>
    </row>
    <row r="41" spans="1:24" x14ac:dyDescent="0.2">
      <c r="B41" s="1"/>
      <c r="C41" s="1"/>
      <c r="D41" s="1"/>
      <c r="E41" s="1"/>
      <c r="F41" s="3"/>
      <c r="G41" s="1"/>
      <c r="H41" s="1"/>
      <c r="I41" s="1"/>
      <c r="L41" s="144" t="s">
        <v>258</v>
      </c>
      <c r="M41">
        <v>0.7</v>
      </c>
      <c r="N41">
        <v>0.7</v>
      </c>
      <c r="O41">
        <v>0.7</v>
      </c>
      <c r="P41">
        <v>0.7</v>
      </c>
      <c r="Q41">
        <v>0.7</v>
      </c>
      <c r="R41">
        <v>0.7</v>
      </c>
      <c r="S41">
        <v>0.7</v>
      </c>
      <c r="W41" s="144" t="s">
        <v>215</v>
      </c>
      <c r="X41" s="145">
        <v>0</v>
      </c>
    </row>
    <row r="42" spans="1:24" x14ac:dyDescent="0.2">
      <c r="A42" s="1"/>
      <c r="B42" s="52"/>
      <c r="C42" s="34"/>
      <c r="D42" s="34"/>
      <c r="E42" s="53"/>
      <c r="F42" s="56"/>
      <c r="G42" s="1"/>
      <c r="H42" s="1"/>
      <c r="L42" s="144" t="s">
        <v>279</v>
      </c>
      <c r="M42">
        <v>0.7</v>
      </c>
      <c r="N42">
        <v>0.7</v>
      </c>
      <c r="O42">
        <v>0.7</v>
      </c>
      <c r="P42">
        <v>0.7</v>
      </c>
      <c r="Q42">
        <v>0.7</v>
      </c>
      <c r="R42">
        <v>0.7</v>
      </c>
      <c r="S42">
        <v>0.7</v>
      </c>
      <c r="W42" s="144" t="s">
        <v>47</v>
      </c>
      <c r="X42" s="145">
        <v>87</v>
      </c>
    </row>
    <row r="43" spans="1:24" x14ac:dyDescent="0.2">
      <c r="L43" t="s">
        <v>259</v>
      </c>
      <c r="M43">
        <v>1.4</v>
      </c>
      <c r="N43">
        <v>1.4</v>
      </c>
      <c r="O43">
        <v>1.4</v>
      </c>
      <c r="P43">
        <v>1.4</v>
      </c>
      <c r="Q43">
        <v>1.4</v>
      </c>
      <c r="R43">
        <v>1.4</v>
      </c>
      <c r="S43">
        <v>1.4</v>
      </c>
      <c r="W43" s="144" t="s">
        <v>48</v>
      </c>
      <c r="X43" s="145">
        <v>30</v>
      </c>
    </row>
    <row r="44" spans="1:24" x14ac:dyDescent="0.2">
      <c r="B44" s="63" t="s">
        <v>26</v>
      </c>
      <c r="C44" s="40"/>
      <c r="D44" s="40"/>
      <c r="E44" s="40"/>
      <c r="F44" s="40"/>
      <c r="G44" s="40"/>
      <c r="H44" s="71"/>
      <c r="L44" t="s">
        <v>140</v>
      </c>
      <c r="M44">
        <v>1.4</v>
      </c>
      <c r="N44">
        <v>1.4</v>
      </c>
      <c r="O44">
        <v>1.4</v>
      </c>
      <c r="P44">
        <v>1.4</v>
      </c>
      <c r="Q44">
        <v>1.4</v>
      </c>
      <c r="R44">
        <v>1.4</v>
      </c>
      <c r="S44">
        <v>1.4</v>
      </c>
      <c r="W44" s="144" t="s">
        <v>50</v>
      </c>
      <c r="X44" s="145">
        <v>75</v>
      </c>
    </row>
    <row r="45" spans="1:24" x14ac:dyDescent="0.2">
      <c r="B45" s="57" t="s">
        <v>4</v>
      </c>
      <c r="C45" s="6" t="s">
        <v>27</v>
      </c>
      <c r="D45" s="6" t="s">
        <v>28</v>
      </c>
      <c r="E45" s="4" t="s">
        <v>29</v>
      </c>
      <c r="F45" s="4" t="s">
        <v>30</v>
      </c>
      <c r="G45" s="4"/>
      <c r="H45" s="58" t="s">
        <v>31</v>
      </c>
      <c r="J45" s="2" t="s">
        <v>188</v>
      </c>
      <c r="L45" t="s">
        <v>262</v>
      </c>
      <c r="M45">
        <v>0.7</v>
      </c>
      <c r="N45">
        <v>0.7</v>
      </c>
      <c r="O45">
        <v>0.7</v>
      </c>
      <c r="P45">
        <v>0.7</v>
      </c>
      <c r="Q45">
        <v>0.7</v>
      </c>
      <c r="R45">
        <v>0.7</v>
      </c>
      <c r="S45">
        <v>0.7</v>
      </c>
      <c r="W45" s="144" t="s">
        <v>61</v>
      </c>
      <c r="X45" s="145">
        <v>75</v>
      </c>
    </row>
    <row r="46" spans="1:24" x14ac:dyDescent="0.2">
      <c r="B46" s="196" t="s">
        <v>252</v>
      </c>
      <c r="C46" s="38"/>
      <c r="D46" s="39">
        <v>0</v>
      </c>
      <c r="E46" s="201">
        <f>IF(Utslag!B50&lt;17,Utslag!B50,16)</f>
        <v>0</v>
      </c>
      <c r="F46" s="40">
        <f t="shared" ref="F46:F52" si="9">C46*E46</f>
        <v>0</v>
      </c>
      <c r="G46" s="40"/>
      <c r="H46" s="71">
        <f t="shared" ref="H46:H52" si="10">D46*E46</f>
        <v>0</v>
      </c>
      <c r="J46">
        <f>IF('Ark18'!C10&gt;0,IF('Ark18'!C10+'Ark18'!C11&lt;17,'Ark18'!C10+'Ark18'!C11,16),0)</f>
        <v>0</v>
      </c>
      <c r="L46" t="s">
        <v>263</v>
      </c>
      <c r="M46">
        <v>0.3</v>
      </c>
      <c r="N46">
        <v>0.3</v>
      </c>
      <c r="O46">
        <v>0.3</v>
      </c>
      <c r="P46">
        <v>0.3</v>
      </c>
      <c r="Q46">
        <v>0.3</v>
      </c>
      <c r="R46">
        <v>0.3</v>
      </c>
      <c r="S46">
        <v>0.3</v>
      </c>
      <c r="W46" s="144" t="s">
        <v>142</v>
      </c>
      <c r="X46" s="145">
        <v>75</v>
      </c>
    </row>
    <row r="47" spans="1:24" x14ac:dyDescent="0.2">
      <c r="B47" s="179" t="s">
        <v>253</v>
      </c>
      <c r="C47" s="41"/>
      <c r="D47" s="5">
        <v>0</v>
      </c>
      <c r="E47" s="1">
        <f>IF(Utslag!$B$50&lt;17,0,IF(Utslag!$B$50&lt;26,Utslag!$B$50-16,9))</f>
        <v>0</v>
      </c>
      <c r="F47" s="40">
        <f t="shared" si="9"/>
        <v>0</v>
      </c>
      <c r="G47" s="40"/>
      <c r="H47" s="71">
        <f t="shared" si="10"/>
        <v>0</v>
      </c>
      <c r="J47">
        <f>IF('Ark18'!C10&gt;0,IF('Ark18'!C10+'Ark18'!C11&lt;17,0,IF('Ark18'!C10+'Ark18'!C11&lt;26,'Ark18'!C10+'Ark18'!C11-16,9)),0)</f>
        <v>0</v>
      </c>
      <c r="L47" t="s">
        <v>264</v>
      </c>
      <c r="M47">
        <v>0.15</v>
      </c>
      <c r="N47">
        <v>0.15</v>
      </c>
      <c r="O47">
        <v>0.15</v>
      </c>
      <c r="P47">
        <v>0.15</v>
      </c>
      <c r="Q47">
        <v>0.15</v>
      </c>
      <c r="R47">
        <v>0.15</v>
      </c>
      <c r="S47">
        <v>0.15</v>
      </c>
      <c r="W47" s="144" t="s">
        <v>140</v>
      </c>
      <c r="X47" s="145">
        <v>75</v>
      </c>
    </row>
    <row r="48" spans="1:24" x14ac:dyDescent="0.2">
      <c r="B48" s="59" t="s">
        <v>40</v>
      </c>
      <c r="C48" s="41"/>
      <c r="D48" s="5">
        <v>0</v>
      </c>
      <c r="E48" s="1">
        <f>IF(Utslag!B50&lt;26,0,IF(Utslag!B50&lt;51,Utslag!B50-25,25))</f>
        <v>0</v>
      </c>
      <c r="F48">
        <f t="shared" si="9"/>
        <v>0</v>
      </c>
      <c r="H48" s="72">
        <f t="shared" si="10"/>
        <v>0</v>
      </c>
      <c r="L48" s="144" t="s">
        <v>346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2:21" x14ac:dyDescent="0.2">
      <c r="B49" s="217" t="s">
        <v>252</v>
      </c>
      <c r="C49" s="41">
        <v>6103</v>
      </c>
      <c r="D49" s="5">
        <v>7663</v>
      </c>
      <c r="E49" s="201">
        <f>IF(Utslag!B50&lt;15,Utslag!B50,14)</f>
        <v>0</v>
      </c>
      <c r="F49" s="40">
        <f t="shared" si="9"/>
        <v>0</v>
      </c>
      <c r="G49" s="40"/>
      <c r="H49" s="71">
        <f t="shared" si="10"/>
        <v>0</v>
      </c>
    </row>
    <row r="50" spans="2:21" x14ac:dyDescent="0.2">
      <c r="B50" s="179" t="s">
        <v>253</v>
      </c>
      <c r="C50" s="41">
        <v>4497</v>
      </c>
      <c r="D50" s="5">
        <v>6057</v>
      </c>
      <c r="E50" s="1">
        <f>IF(Utslag!$B$50&lt;15,0,IF(Utslag!$B$50&lt;30,Utslag!$B$50-14,16))</f>
        <v>0</v>
      </c>
      <c r="F50" s="40">
        <f t="shared" si="9"/>
        <v>0</v>
      </c>
      <c r="G50" s="40"/>
      <c r="H50" s="71">
        <f t="shared" si="10"/>
        <v>0</v>
      </c>
      <c r="L50" s="144" t="s">
        <v>258</v>
      </c>
      <c r="M50" s="136">
        <f>Utslag!B31</f>
        <v>0</v>
      </c>
      <c r="N50">
        <f>HLOOKUP(Utslag!$B$7,$L$40:$S$48,2)</f>
        <v>0.7</v>
      </c>
      <c r="O50">
        <f>M50*N50</f>
        <v>0</v>
      </c>
    </row>
    <row r="51" spans="2:21" x14ac:dyDescent="0.2">
      <c r="B51" s="179" t="s">
        <v>254</v>
      </c>
      <c r="C51" s="41">
        <v>3035</v>
      </c>
      <c r="D51" s="5">
        <v>4595</v>
      </c>
      <c r="E51" s="1">
        <f>IF(Utslag!B50&lt;31,0,IF(Utslag!B50&lt;51,Utslag!B50-30,20))</f>
        <v>0</v>
      </c>
      <c r="F51">
        <f t="shared" si="9"/>
        <v>0</v>
      </c>
      <c r="H51" s="72">
        <f t="shared" si="10"/>
        <v>0</v>
      </c>
      <c r="L51" s="144" t="s">
        <v>279</v>
      </c>
      <c r="M51" s="136">
        <f>Utslag!B32</f>
        <v>0</v>
      </c>
      <c r="N51">
        <f>HLOOKUP(Utslag!$B$7,$L$40:$S$48,3)</f>
        <v>0.7</v>
      </c>
      <c r="O51">
        <f>M51*N51</f>
        <v>0</v>
      </c>
    </row>
    <row r="52" spans="2:21" x14ac:dyDescent="0.2">
      <c r="B52" s="180" t="s">
        <v>208</v>
      </c>
      <c r="C52" s="42">
        <v>2265</v>
      </c>
      <c r="D52" s="25">
        <v>3825</v>
      </c>
      <c r="E52" s="3">
        <f>IF(Utslag!B50&lt;51,0,Utslag!B50-50)</f>
        <v>0</v>
      </c>
      <c r="F52" s="7">
        <f t="shared" si="9"/>
        <v>0</v>
      </c>
      <c r="G52" s="7"/>
      <c r="H52" s="61">
        <f t="shared" si="10"/>
        <v>0</v>
      </c>
      <c r="J52">
        <f>IF('Ark18'!C10&gt;0,IF('Ark18'!C10+'Ark18'!C11&lt;26,0,IF('Ark18'!C10+'Ark18'!C11&lt;51,'Ark18'!C10+'Ark18'!C11-25,25)),0)</f>
        <v>0</v>
      </c>
      <c r="L52" t="s">
        <v>259</v>
      </c>
      <c r="M52" s="136">
        <f>Utslag!B33</f>
        <v>0</v>
      </c>
      <c r="N52">
        <f>HLOOKUP(Utslag!$B$7,$L$40:$S$48,4)</f>
        <v>1.4</v>
      </c>
      <c r="O52">
        <f t="shared" ref="O52:O57" si="11">M52*N52</f>
        <v>0</v>
      </c>
    </row>
    <row r="53" spans="2:21" x14ac:dyDescent="0.2">
      <c r="B53" s="59"/>
      <c r="C53" s="41"/>
      <c r="D53" s="5"/>
      <c r="H53" s="72"/>
      <c r="L53" t="s">
        <v>140</v>
      </c>
      <c r="M53" s="136">
        <f>Utslag!B34</f>
        <v>0</v>
      </c>
      <c r="N53">
        <f>HLOOKUP(Utslag!$B$7,$L$40:$S$48,5)</f>
        <v>1.4</v>
      </c>
      <c r="O53">
        <f t="shared" si="11"/>
        <v>0</v>
      </c>
    </row>
    <row r="54" spans="2:21" x14ac:dyDescent="0.2">
      <c r="B54" s="63" t="s">
        <v>6</v>
      </c>
      <c r="C54" s="38"/>
      <c r="D54" s="39"/>
      <c r="E54" s="40"/>
      <c r="F54" s="40"/>
      <c r="G54" s="40"/>
      <c r="H54" s="71"/>
      <c r="L54" t="s">
        <v>262</v>
      </c>
      <c r="M54" s="136">
        <f>Utslag!B36</f>
        <v>0</v>
      </c>
      <c r="N54">
        <f>HLOOKUP(Utslag!$B$7,$L$40:$S$48,6)</f>
        <v>0.7</v>
      </c>
      <c r="O54">
        <f t="shared" si="11"/>
        <v>0</v>
      </c>
    </row>
    <row r="55" spans="2:21" x14ac:dyDescent="0.2">
      <c r="B55" s="59"/>
      <c r="C55" s="41">
        <v>1198</v>
      </c>
      <c r="D55" s="5">
        <v>1198</v>
      </c>
      <c r="E55" s="215">
        <f>Utslag!B52</f>
        <v>0</v>
      </c>
      <c r="F55">
        <f>C55*E55</f>
        <v>0</v>
      </c>
      <c r="H55" s="72">
        <f>D55*E55</f>
        <v>0</v>
      </c>
      <c r="L55" t="s">
        <v>263</v>
      </c>
      <c r="M55" s="136">
        <f>Utslag!B37</f>
        <v>0</v>
      </c>
      <c r="N55">
        <f>HLOOKUP(Utslag!$B$7,$L$40:$S$48,7)</f>
        <v>0.3</v>
      </c>
      <c r="O55">
        <f t="shared" si="11"/>
        <v>0</v>
      </c>
    </row>
    <row r="56" spans="2:21" x14ac:dyDescent="0.2">
      <c r="B56" s="179" t="s">
        <v>269</v>
      </c>
      <c r="C56" s="41">
        <v>0</v>
      </c>
      <c r="D56" s="5">
        <v>0</v>
      </c>
      <c r="E56" s="215"/>
      <c r="F56">
        <f>C56*E56</f>
        <v>0</v>
      </c>
      <c r="H56" s="72">
        <f>D56*E56</f>
        <v>0</v>
      </c>
      <c r="L56" t="s">
        <v>264</v>
      </c>
      <c r="M56" s="136">
        <f>Utslag!B38</f>
        <v>0</v>
      </c>
      <c r="N56">
        <f>HLOOKUP(Utslag!$B$7,$L$40:$S$48,8)</f>
        <v>0.15</v>
      </c>
      <c r="O56">
        <f t="shared" si="11"/>
        <v>0</v>
      </c>
    </row>
    <row r="57" spans="2:21" x14ac:dyDescent="0.2">
      <c r="B57" s="63" t="s">
        <v>7</v>
      </c>
      <c r="C57" s="38"/>
      <c r="D57" s="39"/>
      <c r="E57" s="40"/>
      <c r="F57" s="40"/>
      <c r="G57" s="40"/>
      <c r="H57" s="71"/>
      <c r="L57" s="144" t="s">
        <v>348</v>
      </c>
      <c r="M57" s="136">
        <f>Utslag!B29+Utslag!B30</f>
        <v>0</v>
      </c>
      <c r="N57">
        <f>HLOOKUP(Utslag!$B$7,$L$40:$S$48,9)</f>
        <v>0</v>
      </c>
      <c r="O57">
        <f t="shared" si="11"/>
        <v>0</v>
      </c>
    </row>
    <row r="58" spans="2:21" x14ac:dyDescent="0.2">
      <c r="B58" s="59" t="s">
        <v>41</v>
      </c>
      <c r="C58" s="41">
        <v>1702</v>
      </c>
      <c r="D58" s="5">
        <v>1702</v>
      </c>
      <c r="E58" s="1">
        <f>IF(Utslag!B53&lt;125,Utslag!B53,125)</f>
        <v>0</v>
      </c>
      <c r="F58">
        <f>C58*E58</f>
        <v>0</v>
      </c>
      <c r="H58" s="72">
        <f>D58*E58</f>
        <v>0</v>
      </c>
      <c r="M58" s="136">
        <f>SUM(M50:M57)</f>
        <v>0</v>
      </c>
      <c r="O58" s="218">
        <f>SUM(O50:O57)</f>
        <v>0</v>
      </c>
    </row>
    <row r="59" spans="2:21" x14ac:dyDescent="0.2">
      <c r="B59" s="180" t="s">
        <v>209</v>
      </c>
      <c r="C59" s="42">
        <v>688</v>
      </c>
      <c r="D59" s="25">
        <v>688</v>
      </c>
      <c r="E59" s="3">
        <f>IF(Utslag!B53&lt;125,0,Utslag!B53-125)</f>
        <v>0</v>
      </c>
      <c r="F59" s="7">
        <f>C59*E59</f>
        <v>0</v>
      </c>
      <c r="G59" s="7"/>
      <c r="H59" s="61">
        <f>D59*E59</f>
        <v>0</v>
      </c>
    </row>
    <row r="60" spans="2:21" x14ac:dyDescent="0.2">
      <c r="B60" s="179"/>
      <c r="C60" s="41"/>
      <c r="D60" s="5"/>
      <c r="E60" s="1"/>
      <c r="H60" s="72"/>
      <c r="L60" s="144" t="s">
        <v>18</v>
      </c>
      <c r="M60">
        <v>1</v>
      </c>
      <c r="N60">
        <v>2</v>
      </c>
      <c r="O60">
        <v>3</v>
      </c>
      <c r="P60">
        <v>4</v>
      </c>
      <c r="Q60" s="144" t="s">
        <v>329</v>
      </c>
      <c r="R60" s="144" t="s">
        <v>330</v>
      </c>
      <c r="T60">
        <v>6</v>
      </c>
      <c r="U60">
        <v>7</v>
      </c>
    </row>
    <row r="61" spans="2:21" x14ac:dyDescent="0.2">
      <c r="B61" s="63" t="s">
        <v>145</v>
      </c>
      <c r="C61" s="35"/>
      <c r="D61" s="39"/>
      <c r="E61" s="40"/>
      <c r="F61" s="40"/>
      <c r="G61" s="40"/>
      <c r="H61" s="71"/>
      <c r="L61" s="144" t="s">
        <v>246</v>
      </c>
      <c r="M61" s="245">
        <v>35000</v>
      </c>
      <c r="N61" s="245">
        <v>35000</v>
      </c>
      <c r="O61" s="245">
        <v>35000</v>
      </c>
      <c r="P61" s="245">
        <v>35000</v>
      </c>
      <c r="Q61" s="245">
        <v>42000</v>
      </c>
      <c r="R61" s="245">
        <v>42000</v>
      </c>
      <c r="S61" s="245"/>
      <c r="T61" s="245">
        <v>60000</v>
      </c>
      <c r="U61" s="245">
        <v>60000</v>
      </c>
    </row>
    <row r="62" spans="2:21" x14ac:dyDescent="0.2">
      <c r="B62" s="179" t="s">
        <v>327</v>
      </c>
      <c r="C62" s="13">
        <v>1885</v>
      </c>
      <c r="D62" s="5">
        <v>1885</v>
      </c>
      <c r="E62" s="1">
        <f>IF(Utslag!B56&lt;76,Utslag!B56,75)</f>
        <v>0</v>
      </c>
      <c r="F62">
        <f t="shared" ref="F62:F64" si="12">C62*E62</f>
        <v>0</v>
      </c>
      <c r="H62" s="72">
        <f t="shared" ref="H62:H64" si="13">D62*E62</f>
        <v>0</v>
      </c>
    </row>
    <row r="63" spans="2:21" x14ac:dyDescent="0.2">
      <c r="B63" s="179" t="s">
        <v>328</v>
      </c>
      <c r="C63" s="13">
        <v>1435</v>
      </c>
      <c r="D63" s="5">
        <v>1435</v>
      </c>
      <c r="E63" s="1">
        <f>IF(Utslag!B56&lt;76,0,IF(Utslag!B56&lt;151,Utslag!B56-75,75))</f>
        <v>0</v>
      </c>
      <c r="F63">
        <f t="shared" ref="F63" si="14">C63*E63</f>
        <v>0</v>
      </c>
      <c r="H63" s="72">
        <f t="shared" ref="H63" si="15">D63*E63</f>
        <v>0</v>
      </c>
      <c r="N63" s="146">
        <f>HLOOKUP(Utslag!$B$7,$L$60:$U$61,2)</f>
        <v>35000</v>
      </c>
    </row>
    <row r="64" spans="2:21" x14ac:dyDescent="0.2">
      <c r="B64" s="179" t="s">
        <v>277</v>
      </c>
      <c r="C64" s="13">
        <v>209</v>
      </c>
      <c r="D64" s="5">
        <v>209</v>
      </c>
      <c r="E64" s="1">
        <f>IF(Utslag!B56&lt;151,0,Utslag!B56-150)</f>
        <v>0</v>
      </c>
      <c r="F64">
        <f t="shared" si="12"/>
        <v>0</v>
      </c>
      <c r="H64" s="72">
        <f t="shared" si="13"/>
        <v>0</v>
      </c>
    </row>
    <row r="65" spans="2:21" x14ac:dyDescent="0.2">
      <c r="B65" s="63" t="s">
        <v>187</v>
      </c>
      <c r="C65" s="35"/>
      <c r="D65" s="39"/>
      <c r="E65" s="40"/>
      <c r="F65" s="40"/>
      <c r="G65" s="40"/>
      <c r="H65" s="71"/>
      <c r="J65" t="s">
        <v>188</v>
      </c>
      <c r="L65" s="144" t="s">
        <v>18</v>
      </c>
      <c r="M65">
        <v>1</v>
      </c>
      <c r="N65">
        <v>2</v>
      </c>
      <c r="O65">
        <v>3</v>
      </c>
      <c r="P65">
        <v>4</v>
      </c>
      <c r="Q65" s="144" t="s">
        <v>329</v>
      </c>
      <c r="R65" s="144" t="s">
        <v>330</v>
      </c>
      <c r="T65">
        <v>6</v>
      </c>
      <c r="U65">
        <v>7</v>
      </c>
    </row>
    <row r="66" spans="2:21" x14ac:dyDescent="0.2">
      <c r="B66" s="216" t="s">
        <v>226</v>
      </c>
      <c r="C66" s="13">
        <v>5290</v>
      </c>
      <c r="D66" s="16">
        <v>5290</v>
      </c>
      <c r="E66" s="1">
        <f>IF(Utslag!B51&lt;50,Utslag!B51,50)</f>
        <v>0</v>
      </c>
      <c r="F66">
        <f>C66*E66</f>
        <v>0</v>
      </c>
      <c r="H66" s="72">
        <f>D66*E66</f>
        <v>0</v>
      </c>
      <c r="J66">
        <f>IF($J$46&gt;0,0,E66)</f>
        <v>0</v>
      </c>
      <c r="L66" s="144" t="s">
        <v>251</v>
      </c>
      <c r="M66">
        <v>0</v>
      </c>
      <c r="N66">
        <v>0</v>
      </c>
      <c r="O66">
        <v>0</v>
      </c>
      <c r="P66">
        <v>0</v>
      </c>
      <c r="Q66">
        <v>10000</v>
      </c>
      <c r="R66">
        <v>10000</v>
      </c>
      <c r="T66">
        <v>10000</v>
      </c>
      <c r="U66">
        <v>10000</v>
      </c>
    </row>
    <row r="67" spans="2:21" x14ac:dyDescent="0.2">
      <c r="B67" s="179" t="s">
        <v>225</v>
      </c>
      <c r="C67" s="13">
        <v>1330</v>
      </c>
      <c r="D67" s="16">
        <v>1330</v>
      </c>
      <c r="E67" s="1">
        <f>IF(Utslag!B51&lt;50,0,IF(Utslag!B51&gt;50,Utslag!B51-50))</f>
        <v>0</v>
      </c>
      <c r="F67">
        <f>C67*E67</f>
        <v>0</v>
      </c>
      <c r="H67" s="72">
        <f>D67*E67</f>
        <v>0</v>
      </c>
      <c r="J67">
        <f>IF($J$46&gt;0,0,E67)</f>
        <v>0</v>
      </c>
    </row>
    <row r="68" spans="2:21" x14ac:dyDescent="0.2">
      <c r="B68" s="59"/>
      <c r="C68" s="13"/>
      <c r="D68" s="16"/>
      <c r="H68" s="72"/>
      <c r="N68" s="146">
        <f>HLOOKUP(Utslag!$B$7,$L$65:$U$66,2)</f>
        <v>0</v>
      </c>
    </row>
    <row r="69" spans="2:21" x14ac:dyDescent="0.2">
      <c r="B69" s="63" t="s">
        <v>10</v>
      </c>
      <c r="C69" s="35"/>
      <c r="D69" s="39"/>
      <c r="E69" s="40"/>
      <c r="F69" s="40"/>
      <c r="G69" s="40"/>
      <c r="H69" s="71"/>
    </row>
    <row r="70" spans="2:21" x14ac:dyDescent="0.2">
      <c r="B70" s="75" t="s">
        <v>94</v>
      </c>
      <c r="C70" s="13">
        <v>498</v>
      </c>
      <c r="D70" s="5">
        <v>498</v>
      </c>
      <c r="E70" s="218"/>
      <c r="F70">
        <f>C70*E70</f>
        <v>0</v>
      </c>
      <c r="H70" s="72">
        <f>D70*E70</f>
        <v>0</v>
      </c>
      <c r="L70" s="144" t="s">
        <v>331</v>
      </c>
      <c r="M70" s="144" t="s">
        <v>330</v>
      </c>
      <c r="N70">
        <v>6</v>
      </c>
    </row>
    <row r="71" spans="2:21" x14ac:dyDescent="0.2">
      <c r="B71" s="217" t="s">
        <v>227</v>
      </c>
      <c r="C71" s="13">
        <v>350</v>
      </c>
      <c r="D71" s="5">
        <v>350</v>
      </c>
      <c r="E71" s="144"/>
      <c r="H71" s="72"/>
      <c r="M71">
        <v>0.05</v>
      </c>
      <c r="N71">
        <v>0.05</v>
      </c>
      <c r="P71" s="261">
        <f>IF(Utslag!B8="-",0,IF(Utslag!B8="Nei",0.21,0))</f>
        <v>0</v>
      </c>
    </row>
    <row r="72" spans="2:21" x14ac:dyDescent="0.2">
      <c r="B72" s="75" t="s">
        <v>95</v>
      </c>
      <c r="C72" s="13">
        <v>776</v>
      </c>
      <c r="D72" s="5">
        <v>776</v>
      </c>
      <c r="E72" s="1"/>
      <c r="F72">
        <f>C72*E72</f>
        <v>0</v>
      </c>
      <c r="H72" s="72">
        <f>D72*E72</f>
        <v>0</v>
      </c>
      <c r="M72">
        <f>IF(P71=0.21,Utslag!B27*0.21,IF(Utslag!B7=6,Utslag!B27*Satser!N71,0))</f>
        <v>0</v>
      </c>
    </row>
    <row r="73" spans="2:21" x14ac:dyDescent="0.2">
      <c r="B73" s="59"/>
      <c r="C73" s="13"/>
      <c r="D73" s="5"/>
      <c r="H73" s="72"/>
    </row>
    <row r="74" spans="2:21" x14ac:dyDescent="0.2">
      <c r="B74" s="63" t="s">
        <v>11</v>
      </c>
      <c r="C74" s="35"/>
      <c r="D74" s="39"/>
      <c r="E74" s="40"/>
      <c r="F74" s="40"/>
      <c r="G74" s="40"/>
      <c r="H74" s="71"/>
    </row>
    <row r="75" spans="2:21" x14ac:dyDescent="0.2">
      <c r="B75" s="75" t="s">
        <v>53</v>
      </c>
      <c r="C75" s="13">
        <v>14</v>
      </c>
      <c r="D75" s="5">
        <v>14</v>
      </c>
      <c r="F75">
        <f>C75*E75</f>
        <v>0</v>
      </c>
      <c r="H75" s="72">
        <f>D75*E75</f>
        <v>0</v>
      </c>
    </row>
    <row r="76" spans="2:21" ht="14.25" x14ac:dyDescent="0.2">
      <c r="B76" s="179" t="s">
        <v>228</v>
      </c>
      <c r="C76" s="13">
        <v>10</v>
      </c>
      <c r="D76" s="5">
        <v>10</v>
      </c>
      <c r="E76" s="218"/>
      <c r="F76">
        <f>C76*E76</f>
        <v>0</v>
      </c>
      <c r="H76" s="72">
        <f>D76*E76</f>
        <v>0</v>
      </c>
      <c r="L76" s="232" t="s">
        <v>245</v>
      </c>
      <c r="N76" s="163">
        <f>Satser!P112</f>
        <v>0</v>
      </c>
    </row>
    <row r="77" spans="2:21" ht="14.25" x14ac:dyDescent="0.2">
      <c r="B77" s="75"/>
      <c r="C77" s="13"/>
      <c r="D77" s="5"/>
      <c r="H77" s="72"/>
      <c r="L77" s="232" t="s">
        <v>294</v>
      </c>
      <c r="N77" s="163">
        <f>IF(Utslag!B10&gt;3,(Utslag!B21+Utslag!B23)*Satser!P116,0)</f>
        <v>0</v>
      </c>
    </row>
    <row r="78" spans="2:21" ht="14.25" x14ac:dyDescent="0.2">
      <c r="B78" s="63" t="s">
        <v>12</v>
      </c>
      <c r="C78" s="35"/>
      <c r="D78" s="39"/>
      <c r="E78" s="40"/>
      <c r="F78" s="40"/>
      <c r="G78" s="40"/>
      <c r="H78" s="71"/>
      <c r="L78" s="232" t="s">
        <v>241</v>
      </c>
      <c r="N78" s="163">
        <f>Satser!$O$58+IF(Utslag!$B$7&gt;5,Utslag!$B$29*0.1,0)</f>
        <v>0</v>
      </c>
    </row>
    <row r="79" spans="2:21" ht="14.25" x14ac:dyDescent="0.2">
      <c r="B79" s="59" t="s">
        <v>100</v>
      </c>
      <c r="C79" s="13">
        <v>11</v>
      </c>
      <c r="D79" s="5">
        <v>11</v>
      </c>
      <c r="E79" s="1">
        <f>IF(Utslag!B60&lt;1001,Utslag!B60,1000)</f>
        <v>0</v>
      </c>
      <c r="F79">
        <f>C79*E79</f>
        <v>0</v>
      </c>
      <c r="H79" s="72">
        <f>D79*E79</f>
        <v>0</v>
      </c>
      <c r="L79" s="232" t="s">
        <v>324</v>
      </c>
      <c r="N79" s="163">
        <f>IF(Utslag!$B$7&gt;5,Utslag!$B$29*0.2,0)</f>
        <v>0</v>
      </c>
    </row>
    <row r="80" spans="2:21" ht="14.25" x14ac:dyDescent="0.2">
      <c r="B80" s="59" t="s">
        <v>101</v>
      </c>
      <c r="C80" s="13">
        <v>25</v>
      </c>
      <c r="D80" s="5">
        <v>25</v>
      </c>
      <c r="E80" s="1"/>
      <c r="H80" s="72"/>
      <c r="L80" s="260" t="s">
        <v>331</v>
      </c>
      <c r="N80">
        <f>M72</f>
        <v>0</v>
      </c>
    </row>
    <row r="81" spans="2:14" ht="14.25" x14ac:dyDescent="0.2">
      <c r="B81" s="180" t="s">
        <v>374</v>
      </c>
      <c r="C81" s="12">
        <v>11</v>
      </c>
      <c r="D81" s="25">
        <v>11</v>
      </c>
      <c r="E81" s="7">
        <f>IF(Utslag!B60&lt;1001,0,IF(Utslag!B60&lt;7501,Utslag!B60-1000,6500))</f>
        <v>0</v>
      </c>
      <c r="F81">
        <f>C81*E81</f>
        <v>0</v>
      </c>
      <c r="H81" s="72">
        <f>D81*E81</f>
        <v>0</v>
      </c>
      <c r="L81" s="260" t="s">
        <v>333</v>
      </c>
      <c r="N81" s="136">
        <f>SUM(N76:N80)</f>
        <v>0</v>
      </c>
    </row>
    <row r="82" spans="2:14" x14ac:dyDescent="0.2">
      <c r="B82" s="221" t="s">
        <v>285</v>
      </c>
      <c r="C82" s="13"/>
      <c r="D82" s="5"/>
      <c r="F82" s="146">
        <f>IF(Utslag!$B$60&gt;6600,-600*C81,0)</f>
        <v>0</v>
      </c>
      <c r="H82" s="72"/>
    </row>
    <row r="83" spans="2:14" x14ac:dyDescent="0.2">
      <c r="B83" s="179" t="s">
        <v>311</v>
      </c>
      <c r="C83" s="13">
        <v>7.0000000000000007E-2</v>
      </c>
      <c r="D83" s="91">
        <v>7.0000000000000007E-2</v>
      </c>
      <c r="H83" s="72"/>
    </row>
    <row r="84" spans="2:14" x14ac:dyDescent="0.2">
      <c r="B84" s="179" t="s">
        <v>312</v>
      </c>
      <c r="C84" s="13">
        <v>0.15</v>
      </c>
      <c r="D84" s="5">
        <v>0.15</v>
      </c>
      <c r="H84" s="72"/>
    </row>
    <row r="85" spans="2:14" x14ac:dyDescent="0.2">
      <c r="B85" s="179" t="s">
        <v>313</v>
      </c>
      <c r="C85" s="13">
        <v>7.0000000000000007E-2</v>
      </c>
      <c r="D85" s="91">
        <v>7.0000000000000007E-2</v>
      </c>
      <c r="H85" s="72"/>
    </row>
    <row r="86" spans="2:14" x14ac:dyDescent="0.2">
      <c r="B86" s="84" t="s">
        <v>205</v>
      </c>
      <c r="C86" s="44">
        <v>765</v>
      </c>
      <c r="D86" s="45">
        <v>765</v>
      </c>
      <c r="E86" s="219">
        <f>Utslag!B64</f>
        <v>0</v>
      </c>
      <c r="F86" s="46">
        <f t="shared" ref="F86" si="16">C86*E86</f>
        <v>0</v>
      </c>
      <c r="G86" s="46"/>
      <c r="H86" s="85">
        <f t="shared" ref="H86" si="17">D86*E86</f>
        <v>0</v>
      </c>
    </row>
    <row r="87" spans="2:14" x14ac:dyDescent="0.2">
      <c r="B87" s="221" t="s">
        <v>235</v>
      </c>
      <c r="C87" s="13">
        <v>800</v>
      </c>
      <c r="D87" s="5">
        <v>850</v>
      </c>
      <c r="E87" s="136">
        <f>Utslag!B65</f>
        <v>0</v>
      </c>
      <c r="F87" s="46">
        <f t="shared" ref="F87" si="18">C87*E87</f>
        <v>0</v>
      </c>
      <c r="G87" s="46"/>
      <c r="H87" s="85">
        <f t="shared" ref="H87" si="19">D87*E87</f>
        <v>0</v>
      </c>
    </row>
    <row r="88" spans="2:14" x14ac:dyDescent="0.2">
      <c r="B88" s="220" t="s">
        <v>229</v>
      </c>
      <c r="C88" s="44"/>
      <c r="D88" s="45"/>
      <c r="E88" s="44"/>
      <c r="F88" s="46">
        <f t="shared" ref="F88:F93" si="20">C88*E88</f>
        <v>0</v>
      </c>
      <c r="G88" s="46"/>
      <c r="H88" s="85">
        <f t="shared" ref="H88:H93" si="21">D88*E88</f>
        <v>0</v>
      </c>
    </row>
    <row r="89" spans="2:14" x14ac:dyDescent="0.2">
      <c r="B89" s="179" t="s">
        <v>6</v>
      </c>
      <c r="C89" s="13">
        <v>3710</v>
      </c>
      <c r="D89" s="5">
        <v>3910</v>
      </c>
      <c r="E89" s="240"/>
      <c r="F89" s="46">
        <f>C89*E89</f>
        <v>0</v>
      </c>
      <c r="G89" s="46"/>
      <c r="H89" s="85">
        <f>D89*E89</f>
        <v>0</v>
      </c>
      <c r="L89" s="144" t="s">
        <v>334</v>
      </c>
    </row>
    <row r="90" spans="2:14" x14ac:dyDescent="0.2">
      <c r="B90" s="179" t="s">
        <v>80</v>
      </c>
      <c r="C90" s="13">
        <v>310</v>
      </c>
      <c r="D90" s="5">
        <v>310</v>
      </c>
      <c r="E90" s="240"/>
      <c r="F90" s="46">
        <f t="shared" si="20"/>
        <v>0</v>
      </c>
      <c r="G90" s="46"/>
      <c r="H90" s="85">
        <f>D90*E90</f>
        <v>0</v>
      </c>
    </row>
    <row r="91" spans="2:14" x14ac:dyDescent="0.2">
      <c r="B91" s="179" t="s">
        <v>270</v>
      </c>
      <c r="C91" s="13">
        <v>310</v>
      </c>
      <c r="D91" s="5">
        <v>310</v>
      </c>
      <c r="E91" s="240"/>
      <c r="F91" s="46">
        <f t="shared" ref="F91" si="22">C91*E91</f>
        <v>0</v>
      </c>
      <c r="G91" s="46"/>
      <c r="H91" s="85">
        <f>D91*E91</f>
        <v>0</v>
      </c>
    </row>
    <row r="92" spans="2:14" x14ac:dyDescent="0.2">
      <c r="B92" s="179" t="s">
        <v>56</v>
      </c>
      <c r="C92" s="13">
        <v>610</v>
      </c>
      <c r="D92" s="5">
        <v>610</v>
      </c>
      <c r="E92" s="136"/>
      <c r="F92" s="46">
        <f t="shared" si="20"/>
        <v>0</v>
      </c>
      <c r="G92" s="46"/>
      <c r="H92" s="85">
        <f t="shared" si="21"/>
        <v>0</v>
      </c>
    </row>
    <row r="93" spans="2:14" x14ac:dyDescent="0.2">
      <c r="B93" s="180" t="s">
        <v>60</v>
      </c>
      <c r="C93" s="12">
        <v>1200</v>
      </c>
      <c r="D93" s="25">
        <v>1200</v>
      </c>
      <c r="E93" s="219"/>
      <c r="F93" s="46">
        <f t="shared" si="20"/>
        <v>0</v>
      </c>
      <c r="G93" s="46"/>
      <c r="H93" s="85">
        <f t="shared" si="21"/>
        <v>0</v>
      </c>
    </row>
    <row r="94" spans="2:14" x14ac:dyDescent="0.2">
      <c r="B94" s="221"/>
      <c r="F94" s="9">
        <f>SUM(F46:F93)</f>
        <v>0</v>
      </c>
      <c r="G94" s="9"/>
      <c r="H94" s="86">
        <f>SUM(H46:H93)</f>
        <v>0</v>
      </c>
    </row>
    <row r="95" spans="2:14" x14ac:dyDescent="0.2">
      <c r="B95" s="60" t="s">
        <v>32</v>
      </c>
      <c r="C95" s="87">
        <v>10000000</v>
      </c>
      <c r="D95" s="87">
        <v>10000000</v>
      </c>
      <c r="E95" s="7"/>
      <c r="F95" s="7" t="s">
        <v>33</v>
      </c>
      <c r="G95" s="7"/>
      <c r="H95" s="61" t="s">
        <v>34</v>
      </c>
      <c r="I95" s="222" t="s">
        <v>32</v>
      </c>
      <c r="J95" s="223">
        <v>280000</v>
      </c>
      <c r="K95" s="224">
        <v>560000</v>
      </c>
      <c r="L95" s="222"/>
    </row>
    <row r="96" spans="2:14" x14ac:dyDescent="0.2">
      <c r="B96" s="9" t="s">
        <v>190</v>
      </c>
      <c r="C96" s="9"/>
      <c r="D96" s="9"/>
      <c r="E96" s="9"/>
      <c r="F96" s="9">
        <f>IF(F94&gt;C95,C95,F94)</f>
        <v>0</v>
      </c>
      <c r="G96" s="9"/>
      <c r="H96" s="9">
        <f>IF(H94&gt;D95,D95,H94)</f>
        <v>0</v>
      </c>
      <c r="I96" s="222" t="s">
        <v>58</v>
      </c>
      <c r="J96" s="222"/>
      <c r="K96" s="222"/>
      <c r="L96" s="222"/>
    </row>
    <row r="97" spans="2:25" x14ac:dyDescent="0.2">
      <c r="B97" s="3"/>
      <c r="F97" s="9"/>
      <c r="G97" s="9"/>
      <c r="H97" s="9"/>
      <c r="I97" s="225"/>
      <c r="J97" s="222"/>
      <c r="K97" s="222"/>
      <c r="L97" s="222"/>
    </row>
    <row r="98" spans="2:25" x14ac:dyDescent="0.2">
      <c r="B98">
        <v>1</v>
      </c>
      <c r="C98" s="11">
        <f>IF(AND(F94&lt;$C$95,H94&lt;D95),H94-F94,0)</f>
        <v>0</v>
      </c>
      <c r="D98" s="144" t="s">
        <v>230</v>
      </c>
      <c r="I98" s="222">
        <v>1</v>
      </c>
      <c r="J98" s="226">
        <f>IF(AND(F94&lt;$J$95,H94&lt;$K$95),0,0)</f>
        <v>0</v>
      </c>
      <c r="K98" s="222"/>
      <c r="L98" s="222"/>
    </row>
    <row r="99" spans="2:25" x14ac:dyDescent="0.2">
      <c r="B99">
        <v>2</v>
      </c>
      <c r="C99">
        <f>IF(AND(F94&lt;C95,H94&gt;D95),(D95-F94),0)</f>
        <v>0</v>
      </c>
      <c r="D99" t="s">
        <v>35</v>
      </c>
      <c r="I99" s="222">
        <v>2</v>
      </c>
      <c r="J99" s="222">
        <f>IF(AND(F94&lt;J95,H94&gt;K95),(K95-F94),0)</f>
        <v>0</v>
      </c>
      <c r="K99" s="222" t="s">
        <v>35</v>
      </c>
      <c r="L99" s="222"/>
    </row>
    <row r="100" spans="2:25" x14ac:dyDescent="0.2">
      <c r="B100">
        <v>3</v>
      </c>
      <c r="C100">
        <f>IF(AND(F94&gt;C95,H94&gt;D95),(D95-C95),0)</f>
        <v>0</v>
      </c>
      <c r="D100" t="s">
        <v>36</v>
      </c>
      <c r="I100" s="222">
        <v>3</v>
      </c>
      <c r="J100" s="227">
        <f>IF(AND(F94&gt;J95,H94&gt;K95),(K95-J95),0)</f>
        <v>0</v>
      </c>
      <c r="K100" s="222" t="s">
        <v>36</v>
      </c>
      <c r="L100" s="222"/>
    </row>
    <row r="101" spans="2:25" x14ac:dyDescent="0.2">
      <c r="B101" s="7">
        <v>4</v>
      </c>
      <c r="C101" s="7">
        <f>IF(AND(F94&gt;C95,H94&lt;D95),(H94-C95),0)</f>
        <v>0</v>
      </c>
      <c r="D101" t="s">
        <v>37</v>
      </c>
      <c r="I101" s="225">
        <v>4</v>
      </c>
      <c r="J101" s="225">
        <f>IF(AND(F94&gt;J95,H94&lt;K95),(H94-J95),0)</f>
        <v>0</v>
      </c>
      <c r="K101" s="222" t="s">
        <v>37</v>
      </c>
      <c r="L101" s="222"/>
    </row>
    <row r="102" spans="2:25" x14ac:dyDescent="0.2">
      <c r="C102" s="2">
        <f>SUM(C98:C101)</f>
        <v>0</v>
      </c>
      <c r="I102" s="222"/>
      <c r="J102" s="228">
        <f>SUM(J98:J101)</f>
        <v>0</v>
      </c>
      <c r="K102" s="222"/>
      <c r="L102" s="222"/>
    </row>
    <row r="103" spans="2:25" x14ac:dyDescent="0.2">
      <c r="C103" s="2"/>
      <c r="J103" s="17"/>
    </row>
    <row r="104" spans="2:25" x14ac:dyDescent="0.2">
      <c r="B104" s="144" t="s">
        <v>211</v>
      </c>
      <c r="C104" s="2">
        <f>'Ark18'!C15*-210</f>
        <v>0</v>
      </c>
      <c r="D104">
        <f>IF(('Ark18'!C14+'Ark18'!C15)&lt;101,800*'Ark18'!C15,250*'Ark18'!C15)</f>
        <v>0</v>
      </c>
      <c r="E104">
        <f>D104+C104</f>
        <v>0</v>
      </c>
      <c r="J104" s="17"/>
    </row>
    <row r="105" spans="2:25" x14ac:dyDescent="0.2">
      <c r="B105" s="14"/>
    </row>
    <row r="106" spans="2:25" ht="14.25" x14ac:dyDescent="0.2">
      <c r="B106" s="24" t="s">
        <v>125</v>
      </c>
      <c r="D106" s="137">
        <f>H96-F96</f>
        <v>0</v>
      </c>
      <c r="L106" s="144" t="s">
        <v>307</v>
      </c>
    </row>
    <row r="107" spans="2:25" x14ac:dyDescent="0.2">
      <c r="L107" s="144" t="s">
        <v>297</v>
      </c>
    </row>
    <row r="108" spans="2:25" x14ac:dyDescent="0.2">
      <c r="B108" s="63" t="s">
        <v>43</v>
      </c>
      <c r="C108" s="40"/>
      <c r="D108" s="40"/>
      <c r="E108" s="40"/>
      <c r="F108" s="33" t="s">
        <v>129</v>
      </c>
      <c r="G108" s="33"/>
      <c r="H108" s="71"/>
      <c r="L108" s="144" t="s">
        <v>18</v>
      </c>
      <c r="M108" s="247" t="s">
        <v>296</v>
      </c>
      <c r="N108" s="247" t="s">
        <v>296</v>
      </c>
      <c r="O108" s="247" t="s">
        <v>298</v>
      </c>
      <c r="P108" s="247" t="s">
        <v>299</v>
      </c>
      <c r="Q108" s="247"/>
      <c r="R108" s="247"/>
      <c r="S108" s="247" t="s">
        <v>300</v>
      </c>
      <c r="T108" s="247" t="s">
        <v>301</v>
      </c>
      <c r="U108" s="247" t="s">
        <v>302</v>
      </c>
      <c r="V108" s="247" t="s">
        <v>303</v>
      </c>
      <c r="W108" s="247" t="s">
        <v>304</v>
      </c>
      <c r="X108" s="247" t="s">
        <v>305</v>
      </c>
      <c r="Y108" s="247" t="s">
        <v>306</v>
      </c>
    </row>
    <row r="109" spans="2:25" x14ac:dyDescent="0.2">
      <c r="B109" s="55" t="s">
        <v>4</v>
      </c>
      <c r="C109" s="9" t="s">
        <v>27</v>
      </c>
      <c r="D109" s="9" t="s">
        <v>231</v>
      </c>
      <c r="E109" s="2" t="s">
        <v>29</v>
      </c>
      <c r="F109" s="2" t="s">
        <v>30</v>
      </c>
      <c r="G109" s="2"/>
      <c r="H109" s="64" t="s">
        <v>31</v>
      </c>
      <c r="L109" s="144" t="s">
        <v>27</v>
      </c>
      <c r="M109" s="91">
        <v>0</v>
      </c>
      <c r="N109" s="91">
        <v>0</v>
      </c>
      <c r="O109" s="91">
        <v>0.05</v>
      </c>
      <c r="P109">
        <v>0.1</v>
      </c>
      <c r="S109">
        <v>0.15</v>
      </c>
      <c r="T109">
        <v>0.2</v>
      </c>
      <c r="U109">
        <v>0.24</v>
      </c>
      <c r="V109">
        <v>0.41</v>
      </c>
      <c r="W109">
        <v>0.71</v>
      </c>
      <c r="X109">
        <v>0.41</v>
      </c>
      <c r="Y109">
        <v>0.41</v>
      </c>
    </row>
    <row r="110" spans="2:25" x14ac:dyDescent="0.2">
      <c r="B110" s="196" t="s">
        <v>220</v>
      </c>
      <c r="C110" s="130">
        <v>4625</v>
      </c>
      <c r="D110" s="130">
        <v>4856</v>
      </c>
      <c r="E110" s="195">
        <f>Utslag!B50</f>
        <v>0</v>
      </c>
      <c r="F110" s="39">
        <f>C110*E110</f>
        <v>0</v>
      </c>
      <c r="G110" s="39"/>
      <c r="H110" s="88">
        <f>D110*E110</f>
        <v>0</v>
      </c>
      <c r="L110" s="144" t="s">
        <v>345</v>
      </c>
      <c r="M110">
        <v>0</v>
      </c>
      <c r="N110">
        <v>0</v>
      </c>
      <c r="O110">
        <v>0.15</v>
      </c>
      <c r="P110">
        <v>0.38</v>
      </c>
      <c r="S110">
        <v>0.6</v>
      </c>
      <c r="T110">
        <v>0.67</v>
      </c>
      <c r="U110">
        <v>0.76</v>
      </c>
      <c r="V110">
        <v>1.07</v>
      </c>
      <c r="W110">
        <v>1.28</v>
      </c>
      <c r="X110">
        <v>1.86</v>
      </c>
      <c r="Y110">
        <v>1.95</v>
      </c>
    </row>
    <row r="111" spans="2:25" x14ac:dyDescent="0.2">
      <c r="B111" s="59"/>
      <c r="C111" s="41"/>
      <c r="D111" s="41"/>
      <c r="F111" s="5"/>
      <c r="G111" s="5"/>
      <c r="H111" s="89"/>
    </row>
    <row r="112" spans="2:25" x14ac:dyDescent="0.2">
      <c r="B112" s="55" t="s">
        <v>6</v>
      </c>
      <c r="C112" s="41"/>
      <c r="D112" s="41"/>
      <c r="F112" s="5"/>
      <c r="G112" s="5"/>
      <c r="H112" s="89"/>
      <c r="L112" s="144" t="s">
        <v>308</v>
      </c>
      <c r="M112" s="136">
        <f>Utslag!B19+Utslag!B20</f>
        <v>0</v>
      </c>
      <c r="N112" s="36">
        <f>HLOOKUP(Utslag!B9,melk,2)</f>
        <v>0.15</v>
      </c>
      <c r="O112" s="36">
        <f>HLOOKUP(Utslag!B9,melk,3)</f>
        <v>0.6</v>
      </c>
      <c r="P112">
        <f>(M112*N112)*1-(O112*0*M112)</f>
        <v>0</v>
      </c>
    </row>
    <row r="113" spans="2:19" x14ac:dyDescent="0.2">
      <c r="B113" s="59" t="s">
        <v>109</v>
      </c>
      <c r="C113" s="130">
        <v>771</v>
      </c>
      <c r="D113" s="130">
        <v>809</v>
      </c>
      <c r="E113" s="136">
        <f>Utslag!B52</f>
        <v>0</v>
      </c>
      <c r="F113" s="5">
        <f>C113*E113</f>
        <v>0</v>
      </c>
      <c r="G113" s="5"/>
      <c r="H113" s="89">
        <f>D113*E113</f>
        <v>0</v>
      </c>
    </row>
    <row r="114" spans="2:19" x14ac:dyDescent="0.2">
      <c r="B114" s="59"/>
      <c r="C114" s="41"/>
      <c r="D114" s="41"/>
      <c r="F114" s="5"/>
      <c r="G114" s="5"/>
      <c r="H114" s="89"/>
    </row>
    <row r="115" spans="2:19" x14ac:dyDescent="0.2">
      <c r="B115" s="55" t="s">
        <v>135</v>
      </c>
      <c r="C115" s="41"/>
      <c r="D115" s="41"/>
      <c r="F115" s="5"/>
      <c r="G115" s="5"/>
      <c r="H115" s="89"/>
      <c r="L115" s="144" t="s">
        <v>294</v>
      </c>
      <c r="M115">
        <v>1</v>
      </c>
      <c r="N115">
        <v>2</v>
      </c>
      <c r="O115">
        <v>3</v>
      </c>
      <c r="P115">
        <v>4</v>
      </c>
      <c r="S115">
        <v>5</v>
      </c>
    </row>
    <row r="116" spans="2:19" x14ac:dyDescent="0.2">
      <c r="B116" s="179" t="s">
        <v>109</v>
      </c>
      <c r="C116" s="130">
        <v>1066</v>
      </c>
      <c r="D116" s="130">
        <v>1119</v>
      </c>
      <c r="E116" s="136">
        <f>Utslag!B53</f>
        <v>0</v>
      </c>
      <c r="F116" s="5">
        <f>C116*E116</f>
        <v>0</v>
      </c>
      <c r="G116" s="5"/>
      <c r="H116" s="89">
        <f>D116*E116</f>
        <v>0</v>
      </c>
      <c r="L116" s="144" t="s">
        <v>309</v>
      </c>
      <c r="M116">
        <v>0</v>
      </c>
      <c r="N116">
        <v>0</v>
      </c>
      <c r="O116">
        <v>0</v>
      </c>
      <c r="P116">
        <v>2</v>
      </c>
      <c r="S116">
        <v>2</v>
      </c>
    </row>
    <row r="117" spans="2:19" x14ac:dyDescent="0.2">
      <c r="B117" s="59"/>
      <c r="C117" s="41"/>
      <c r="D117" s="41"/>
      <c r="F117" s="5"/>
      <c r="G117" s="5"/>
      <c r="H117" s="89"/>
      <c r="L117" s="144" t="s">
        <v>310</v>
      </c>
      <c r="P117">
        <v>0.4</v>
      </c>
      <c r="S117">
        <v>0.4</v>
      </c>
    </row>
    <row r="118" spans="2:19" x14ac:dyDescent="0.2">
      <c r="B118" s="55" t="s">
        <v>8</v>
      </c>
      <c r="C118" s="41"/>
      <c r="D118" s="41"/>
      <c r="F118" s="5"/>
      <c r="G118" s="5"/>
      <c r="H118" s="89"/>
    </row>
    <row r="119" spans="2:19" x14ac:dyDescent="0.2">
      <c r="B119" s="59" t="s">
        <v>109</v>
      </c>
      <c r="C119" s="130">
        <v>530</v>
      </c>
      <c r="D119" s="130">
        <v>557</v>
      </c>
      <c r="E119" s="136">
        <f>Utslag!B56</f>
        <v>0</v>
      </c>
      <c r="F119" s="5">
        <f>C119*E119</f>
        <v>0</v>
      </c>
      <c r="G119" s="5"/>
      <c r="H119" s="89">
        <f>D119*E119</f>
        <v>0</v>
      </c>
    </row>
    <row r="120" spans="2:19" x14ac:dyDescent="0.2">
      <c r="B120" s="55" t="s">
        <v>16</v>
      </c>
      <c r="C120" s="41"/>
      <c r="D120" s="41"/>
      <c r="F120" s="5"/>
      <c r="G120" s="5"/>
      <c r="H120" s="89"/>
    </row>
    <row r="121" spans="2:19" x14ac:dyDescent="0.2">
      <c r="B121" s="75" t="s">
        <v>109</v>
      </c>
      <c r="C121" s="130">
        <v>1277</v>
      </c>
      <c r="D121" s="130">
        <v>1340</v>
      </c>
      <c r="E121" s="136">
        <f>Utslag!B51</f>
        <v>0</v>
      </c>
      <c r="F121" s="5">
        <f>C121*E121</f>
        <v>0</v>
      </c>
      <c r="G121" s="5"/>
      <c r="H121" s="89">
        <f>D121*E121</f>
        <v>0</v>
      </c>
      <c r="L121" s="144" t="s">
        <v>317</v>
      </c>
    </row>
    <row r="122" spans="2:19" x14ac:dyDescent="0.2">
      <c r="B122" s="59"/>
      <c r="C122" s="41"/>
      <c r="D122" s="41"/>
      <c r="F122" s="5"/>
      <c r="G122" s="5"/>
      <c r="H122" s="89"/>
      <c r="L122" s="144" t="s">
        <v>318</v>
      </c>
      <c r="M122" s="136" t="e">
        <f>Utslag!#REF!</f>
        <v>#REF!</v>
      </c>
    </row>
    <row r="123" spans="2:19" x14ac:dyDescent="0.2">
      <c r="B123" s="55" t="s">
        <v>10</v>
      </c>
      <c r="C123" s="41"/>
      <c r="D123" s="41"/>
      <c r="F123" s="5"/>
      <c r="G123" s="5"/>
      <c r="H123" s="89"/>
      <c r="L123" s="144" t="s">
        <v>319</v>
      </c>
      <c r="M123" s="136" t="e">
        <f>Utslag!#REF!</f>
        <v>#REF!</v>
      </c>
    </row>
    <row r="124" spans="2:19" x14ac:dyDescent="0.2">
      <c r="B124" s="75" t="s">
        <v>109</v>
      </c>
      <c r="C124" s="130">
        <v>1524</v>
      </c>
      <c r="D124" s="130">
        <v>1600</v>
      </c>
      <c r="E124" s="136">
        <f>Utslag!B58</f>
        <v>0</v>
      </c>
      <c r="F124" s="5">
        <f>C124*E124</f>
        <v>0</v>
      </c>
      <c r="G124" s="5"/>
      <c r="H124" s="89">
        <f>D124*E124</f>
        <v>0</v>
      </c>
      <c r="L124" s="144" t="s">
        <v>320</v>
      </c>
      <c r="M124" s="257" t="e">
        <f>Utslag!#REF!</f>
        <v>#REF!</v>
      </c>
      <c r="N124" t="e">
        <f>(M128/(M123+M122))</f>
        <v>#REF!</v>
      </c>
    </row>
    <row r="125" spans="2:19" x14ac:dyDescent="0.2">
      <c r="B125" s="59"/>
      <c r="C125" s="41"/>
      <c r="D125" s="41"/>
      <c r="F125" s="5"/>
      <c r="G125" s="5"/>
      <c r="H125" s="89"/>
      <c r="L125" s="144" t="s">
        <v>321</v>
      </c>
      <c r="M125" s="257" t="e">
        <f>Utslag!#REF!</f>
        <v>#REF!</v>
      </c>
      <c r="N125">
        <v>6.79</v>
      </c>
    </row>
    <row r="126" spans="2:19" x14ac:dyDescent="0.2">
      <c r="B126" s="55" t="s">
        <v>11</v>
      </c>
      <c r="C126" s="41"/>
      <c r="D126" s="41"/>
      <c r="F126" s="5"/>
      <c r="G126" s="5"/>
      <c r="H126" s="89"/>
      <c r="L126" s="144" t="s">
        <v>322</v>
      </c>
      <c r="M126">
        <v>9.85</v>
      </c>
      <c r="N126" s="140" t="e">
        <f>N124/N125</f>
        <v>#REF!</v>
      </c>
    </row>
    <row r="127" spans="2:19" x14ac:dyDescent="0.2">
      <c r="B127" s="75" t="s">
        <v>109</v>
      </c>
      <c r="C127" s="130">
        <v>52</v>
      </c>
      <c r="D127" s="130">
        <v>55</v>
      </c>
      <c r="E127" s="136">
        <f>Utslag!B59</f>
        <v>0</v>
      </c>
      <c r="F127" s="5">
        <f>C127*E127</f>
        <v>0</v>
      </c>
      <c r="G127" s="5"/>
      <c r="H127" s="89">
        <f>D127*E127</f>
        <v>0</v>
      </c>
      <c r="L127" s="144" t="s">
        <v>323</v>
      </c>
      <c r="M127">
        <v>11.1</v>
      </c>
    </row>
    <row r="128" spans="2:19" x14ac:dyDescent="0.2">
      <c r="B128" s="59"/>
      <c r="C128" s="41"/>
      <c r="D128" s="41"/>
      <c r="F128" s="5"/>
      <c r="G128" s="5"/>
      <c r="H128" s="89"/>
      <c r="M128" t="e">
        <f>(M126-M124)*M122+(M127-M125)*M123</f>
        <v>#REF!</v>
      </c>
    </row>
    <row r="129" spans="2:13" x14ac:dyDescent="0.2">
      <c r="B129" s="55" t="s">
        <v>12</v>
      </c>
      <c r="C129" s="41"/>
      <c r="D129" s="41"/>
      <c r="F129" s="5"/>
      <c r="G129" s="5"/>
      <c r="H129" s="89"/>
    </row>
    <row r="130" spans="2:13" x14ac:dyDescent="0.2">
      <c r="B130" s="59" t="s">
        <v>109</v>
      </c>
      <c r="C130" s="130">
        <v>13.4</v>
      </c>
      <c r="D130" s="130">
        <v>14.1</v>
      </c>
      <c r="E130" s="136">
        <f>Utslag!B60</f>
        <v>0</v>
      </c>
      <c r="F130" s="5">
        <f>C130*E130</f>
        <v>0</v>
      </c>
      <c r="G130" s="5"/>
      <c r="H130" s="89">
        <f>D130*E130</f>
        <v>0</v>
      </c>
    </row>
    <row r="131" spans="2:13" x14ac:dyDescent="0.2">
      <c r="B131" s="59"/>
      <c r="C131" s="41"/>
      <c r="D131" s="41"/>
      <c r="F131" s="5"/>
      <c r="G131" s="5"/>
      <c r="H131" s="89"/>
      <c r="M131" s="144" t="s">
        <v>296</v>
      </c>
    </row>
    <row r="132" spans="2:13" x14ac:dyDescent="0.2">
      <c r="B132" s="179" t="s">
        <v>205</v>
      </c>
      <c r="C132" s="41"/>
      <c r="D132" s="41"/>
      <c r="F132" s="5"/>
      <c r="G132" s="5"/>
      <c r="H132" s="89"/>
      <c r="M132" s="144" t="s">
        <v>298</v>
      </c>
    </row>
    <row r="133" spans="2:13" x14ac:dyDescent="0.2">
      <c r="B133" s="179" t="s">
        <v>109</v>
      </c>
      <c r="C133" s="41">
        <v>519</v>
      </c>
      <c r="D133" s="41">
        <v>544</v>
      </c>
      <c r="E133" s="136">
        <f>Utslag!B64</f>
        <v>0</v>
      </c>
      <c r="F133" s="5">
        <f>C133*E133</f>
        <v>0</v>
      </c>
      <c r="G133" s="5"/>
      <c r="H133" s="89">
        <f>D133*E133</f>
        <v>0</v>
      </c>
      <c r="M133" s="144" t="s">
        <v>299</v>
      </c>
    </row>
    <row r="134" spans="2:13" x14ac:dyDescent="0.2">
      <c r="B134" s="59"/>
      <c r="C134" s="41"/>
      <c r="D134" s="41"/>
      <c r="F134" s="5"/>
      <c r="G134" s="5"/>
      <c r="H134" s="89"/>
      <c r="M134" s="144" t="s">
        <v>300</v>
      </c>
    </row>
    <row r="135" spans="2:13" x14ac:dyDescent="0.2">
      <c r="B135" s="55" t="s">
        <v>110</v>
      </c>
      <c r="C135" s="41"/>
      <c r="D135" s="41"/>
      <c r="F135" s="5"/>
      <c r="G135" s="5"/>
      <c r="H135" s="89"/>
      <c r="M135" s="144" t="s">
        <v>301</v>
      </c>
    </row>
    <row r="136" spans="2:13" ht="11.25" customHeight="1" x14ac:dyDescent="0.2">
      <c r="B136" s="59" t="s">
        <v>109</v>
      </c>
      <c r="C136" s="130">
        <v>1524</v>
      </c>
      <c r="D136" s="130">
        <v>1600</v>
      </c>
      <c r="E136" s="136"/>
      <c r="F136" s="5"/>
      <c r="G136" s="5"/>
      <c r="H136" s="89"/>
      <c r="M136" s="144" t="s">
        <v>302</v>
      </c>
    </row>
    <row r="137" spans="2:13" x14ac:dyDescent="0.2">
      <c r="B137" s="59"/>
      <c r="C137" s="41"/>
      <c r="D137" s="41"/>
      <c r="F137" s="5"/>
      <c r="G137" s="5"/>
      <c r="H137" s="89"/>
      <c r="M137" s="144" t="s">
        <v>303</v>
      </c>
    </row>
    <row r="138" spans="2:13" x14ac:dyDescent="0.2">
      <c r="B138" s="55" t="s">
        <v>111</v>
      </c>
      <c r="C138" s="41"/>
      <c r="D138" s="41"/>
      <c r="F138" s="5"/>
      <c r="G138" s="5"/>
      <c r="H138" s="89"/>
      <c r="M138" s="144" t="s">
        <v>304</v>
      </c>
    </row>
    <row r="139" spans="2:13" x14ac:dyDescent="0.2">
      <c r="B139" s="59" t="s">
        <v>109</v>
      </c>
      <c r="C139" s="130">
        <v>380</v>
      </c>
      <c r="D139" s="130">
        <v>399</v>
      </c>
      <c r="E139" s="136"/>
      <c r="F139" s="5"/>
      <c r="G139" s="5"/>
      <c r="H139" s="89"/>
      <c r="M139" s="144" t="s">
        <v>305</v>
      </c>
    </row>
    <row r="140" spans="2:13" x14ac:dyDescent="0.2">
      <c r="B140" s="59"/>
      <c r="C140" s="41"/>
      <c r="D140" s="41"/>
      <c r="F140" s="5"/>
      <c r="G140" s="5"/>
      <c r="H140" s="89"/>
      <c r="M140" s="144" t="s">
        <v>306</v>
      </c>
    </row>
    <row r="141" spans="2:13" x14ac:dyDescent="0.2">
      <c r="B141" s="55" t="s">
        <v>112</v>
      </c>
      <c r="C141" s="41"/>
      <c r="D141" s="41"/>
      <c r="F141" s="5"/>
      <c r="G141" s="5"/>
      <c r="H141" s="89"/>
    </row>
    <row r="142" spans="2:13" x14ac:dyDescent="0.2">
      <c r="B142" s="59" t="s">
        <v>109</v>
      </c>
      <c r="C142" s="53">
        <v>4.66</v>
      </c>
      <c r="D142" s="53">
        <v>4.9000000000000004</v>
      </c>
      <c r="E142" s="136"/>
      <c r="F142" s="5"/>
      <c r="G142" s="5"/>
      <c r="H142" s="89"/>
    </row>
    <row r="143" spans="2:13" x14ac:dyDescent="0.2">
      <c r="B143" s="59"/>
      <c r="C143" s="41"/>
      <c r="D143" s="41"/>
      <c r="F143" s="5"/>
      <c r="G143" s="5"/>
      <c r="H143" s="89"/>
    </row>
    <row r="144" spans="2:13" x14ac:dyDescent="0.2">
      <c r="B144" s="55" t="s">
        <v>113</v>
      </c>
      <c r="C144" s="41"/>
      <c r="D144" s="41"/>
      <c r="F144" s="5"/>
      <c r="G144" s="5"/>
      <c r="H144" s="89"/>
    </row>
    <row r="145" spans="2:10" x14ac:dyDescent="0.2">
      <c r="B145" s="59" t="s">
        <v>109</v>
      </c>
      <c r="C145" s="130">
        <v>4.66</v>
      </c>
      <c r="D145" s="130">
        <v>4.9000000000000004</v>
      </c>
      <c r="E145" s="136"/>
      <c r="F145" s="5"/>
      <c r="G145" s="5"/>
      <c r="H145" s="89"/>
    </row>
    <row r="146" spans="2:10" x14ac:dyDescent="0.2">
      <c r="B146" s="59"/>
      <c r="C146" s="41"/>
      <c r="D146" s="41"/>
      <c r="F146" s="5"/>
      <c r="G146" s="5"/>
      <c r="H146" s="89"/>
    </row>
    <row r="147" spans="2:10" x14ac:dyDescent="0.2">
      <c r="B147" s="55" t="s">
        <v>114</v>
      </c>
      <c r="C147" s="41"/>
      <c r="D147" s="41"/>
      <c r="F147" s="5"/>
      <c r="G147" s="5"/>
      <c r="H147" s="89"/>
    </row>
    <row r="148" spans="2:10" x14ac:dyDescent="0.2">
      <c r="B148" s="59" t="s">
        <v>109</v>
      </c>
      <c r="C148" s="53">
        <v>0.56000000000000005</v>
      </c>
      <c r="D148" s="53">
        <v>0.59</v>
      </c>
      <c r="E148" s="136">
        <f>Utslag!B63</f>
        <v>0</v>
      </c>
      <c r="F148" s="5">
        <f>C148*E148</f>
        <v>0</v>
      </c>
      <c r="G148" s="5"/>
      <c r="H148" s="89">
        <f>D148*E148</f>
        <v>0</v>
      </c>
    </row>
    <row r="149" spans="2:10" x14ac:dyDescent="0.2">
      <c r="B149" s="59"/>
      <c r="C149" s="41"/>
      <c r="D149" s="41"/>
      <c r="F149" s="5"/>
      <c r="G149" s="5"/>
      <c r="H149" s="89"/>
    </row>
    <row r="150" spans="2:10" x14ac:dyDescent="0.2">
      <c r="B150" s="55" t="s">
        <v>115</v>
      </c>
      <c r="C150" s="41"/>
      <c r="D150" s="41"/>
      <c r="F150" s="5"/>
      <c r="G150" s="5"/>
      <c r="H150" s="89"/>
    </row>
    <row r="151" spans="2:10" x14ac:dyDescent="0.2">
      <c r="B151" s="59" t="s">
        <v>109</v>
      </c>
      <c r="C151" s="130">
        <v>419</v>
      </c>
      <c r="D151" s="130">
        <v>440</v>
      </c>
      <c r="E151" s="136"/>
      <c r="F151" s="5"/>
      <c r="G151" s="5"/>
      <c r="H151" s="89"/>
    </row>
    <row r="152" spans="2:10" x14ac:dyDescent="0.2">
      <c r="B152" s="59"/>
      <c r="C152" s="41"/>
      <c r="D152" s="41"/>
      <c r="F152" s="5"/>
      <c r="G152" s="5"/>
      <c r="H152" s="89"/>
    </row>
    <row r="153" spans="2:10" x14ac:dyDescent="0.2">
      <c r="B153" s="55" t="s">
        <v>116</v>
      </c>
      <c r="C153" s="41"/>
      <c r="D153" s="41"/>
      <c r="F153" s="5"/>
      <c r="G153" s="5"/>
      <c r="H153" s="89"/>
    </row>
    <row r="154" spans="2:10" x14ac:dyDescent="0.2">
      <c r="B154" s="60" t="s">
        <v>109</v>
      </c>
      <c r="C154" s="130">
        <v>123</v>
      </c>
      <c r="D154" s="130">
        <v>129</v>
      </c>
      <c r="E154" s="219"/>
      <c r="F154" s="25"/>
      <c r="G154" s="25"/>
      <c r="H154" s="90"/>
    </row>
    <row r="155" spans="2:10" x14ac:dyDescent="0.2">
      <c r="B155" s="74"/>
      <c r="C155" s="91"/>
      <c r="D155" s="13"/>
      <c r="H155" s="72"/>
    </row>
    <row r="156" spans="2:10" x14ac:dyDescent="0.2">
      <c r="B156" s="55"/>
      <c r="C156" s="91"/>
      <c r="D156" s="13"/>
      <c r="F156" s="92">
        <f>SUM(F110:F154)</f>
        <v>0</v>
      </c>
      <c r="G156" s="92"/>
      <c r="H156" s="93">
        <f>SUM(H110:H154)</f>
        <v>0</v>
      </c>
      <c r="J156" s="5"/>
    </row>
    <row r="157" spans="2:10" x14ac:dyDescent="0.2">
      <c r="B157" s="57" t="s">
        <v>32</v>
      </c>
      <c r="C157" s="87">
        <v>96580</v>
      </c>
      <c r="D157" s="94">
        <v>126580</v>
      </c>
      <c r="E157" s="7"/>
      <c r="F157" s="7" t="s">
        <v>33</v>
      </c>
      <c r="G157" s="7"/>
      <c r="H157" s="61" t="s">
        <v>34</v>
      </c>
    </row>
    <row r="158" spans="2:10" x14ac:dyDescent="0.2">
      <c r="B158" s="1"/>
    </row>
    <row r="159" spans="2:10" x14ac:dyDescent="0.2">
      <c r="B159" s="3"/>
      <c r="F159" s="9"/>
      <c r="G159" s="9"/>
    </row>
    <row r="160" spans="2:10" x14ac:dyDescent="0.2">
      <c r="B160">
        <v>1</v>
      </c>
      <c r="C160" s="11">
        <f>IF(AND(F156&lt;$C$157,H156&lt;$D$157),H156-F156,0)</f>
        <v>0</v>
      </c>
    </row>
    <row r="161" spans="2:8" x14ac:dyDescent="0.2">
      <c r="B161">
        <v>2</v>
      </c>
      <c r="C161">
        <f>IF(AND(F156&lt;C157,H156&gt;D157),(D157-F156),0)</f>
        <v>0</v>
      </c>
      <c r="D161" t="s">
        <v>35</v>
      </c>
    </row>
    <row r="162" spans="2:8" x14ac:dyDescent="0.2">
      <c r="B162">
        <v>3</v>
      </c>
      <c r="C162">
        <f>IF(AND(F156&gt;C157,H156&gt;D157),(D157-C157),0)</f>
        <v>0</v>
      </c>
      <c r="D162" t="s">
        <v>36</v>
      </c>
    </row>
    <row r="163" spans="2:8" x14ac:dyDescent="0.2">
      <c r="B163" s="7">
        <v>4</v>
      </c>
      <c r="C163" s="7">
        <f>IF(AND(F156&gt;C157,H156&lt;D157),(H156-$C$157),0)</f>
        <v>0</v>
      </c>
      <c r="D163" t="s">
        <v>37</v>
      </c>
    </row>
    <row r="164" spans="2:8" x14ac:dyDescent="0.2">
      <c r="C164" s="2">
        <f>SUM(C160:C163)</f>
        <v>0</v>
      </c>
    </row>
    <row r="165" spans="2:8" x14ac:dyDescent="0.2">
      <c r="C165" s="2"/>
    </row>
    <row r="166" spans="2:8" x14ac:dyDescent="0.2">
      <c r="C166" s="2"/>
    </row>
    <row r="167" spans="2:8" x14ac:dyDescent="0.2">
      <c r="C167" s="2"/>
    </row>
    <row r="168" spans="2:8" x14ac:dyDescent="0.2">
      <c r="C168" s="2"/>
    </row>
    <row r="169" spans="2:8" x14ac:dyDescent="0.2">
      <c r="C169" s="2"/>
    </row>
    <row r="170" spans="2:8" x14ac:dyDescent="0.2">
      <c r="B170" s="2" t="s">
        <v>71</v>
      </c>
    </row>
    <row r="171" spans="2:8" x14ac:dyDescent="0.2">
      <c r="B171" s="144" t="s">
        <v>232</v>
      </c>
      <c r="C171">
        <v>0</v>
      </c>
    </row>
    <row r="172" spans="2:8" x14ac:dyDescent="0.2">
      <c r="B172" t="s">
        <v>72</v>
      </c>
      <c r="C172">
        <v>0</v>
      </c>
    </row>
    <row r="173" spans="2:8" x14ac:dyDescent="0.2">
      <c r="B173" t="s">
        <v>73</v>
      </c>
      <c r="C173">
        <v>0</v>
      </c>
    </row>
    <row r="174" spans="2:8" x14ac:dyDescent="0.2">
      <c r="B174" t="s">
        <v>56</v>
      </c>
      <c r="C174">
        <v>0</v>
      </c>
    </row>
    <row r="175" spans="2:8" x14ac:dyDescent="0.2">
      <c r="C175" s="2" t="e">
        <f>IF(Utslag!#REF!&gt;0,Utslag!#REF!,IF(Utslag!#REF!&lt;0,Utslag!#REF!,IF(Utslag!#REF!&gt;0,Utslag!#REF!,IF(Utslag!#REF!&lt;0,Utslag!#REF!,Utslag!#REF!))))</f>
        <v>#REF!</v>
      </c>
      <c r="E175" s="131" t="s">
        <v>169</v>
      </c>
      <c r="F175" t="s">
        <v>170</v>
      </c>
      <c r="H175" t="s">
        <v>171</v>
      </c>
    </row>
    <row r="176" spans="2:8" x14ac:dyDescent="0.2">
      <c r="B176" t="s">
        <v>74</v>
      </c>
      <c r="C176">
        <f>IF('Ark18'!C11&gt;49,9000,IF('Ark18'!C11&gt;5,'Ark18'!C11*580,0))</f>
        <v>0</v>
      </c>
      <c r="E176">
        <v>580</v>
      </c>
      <c r="F176">
        <v>580</v>
      </c>
      <c r="H176">
        <v>9000</v>
      </c>
    </row>
    <row r="177" spans="1:37" x14ac:dyDescent="0.2">
      <c r="C177" s="2" t="e">
        <f>IF(C175&gt;0,C175,IF(C175&lt;0,C175,C176))</f>
        <v>#REF!</v>
      </c>
    </row>
    <row r="178" spans="1:37" x14ac:dyDescent="0.2">
      <c r="B178" t="s">
        <v>75</v>
      </c>
    </row>
    <row r="179" spans="1:37" x14ac:dyDescent="0.2">
      <c r="C179" s="26" t="e">
        <f>IF(C177&gt;0,C177,IF(C177&lt;0,C177,Utslag!#REF!))</f>
        <v>#REF!</v>
      </c>
      <c r="D179" t="s">
        <v>76</v>
      </c>
    </row>
    <row r="181" spans="1:37" x14ac:dyDescent="0.2">
      <c r="B181" t="s">
        <v>172</v>
      </c>
      <c r="C181" t="e">
        <f>IF(Utslag!#REF!+C176+Utslag!#REF!=0,Utslag!#REF!+Utslag!#REF!,0)</f>
        <v>#REF!</v>
      </c>
    </row>
    <row r="182" spans="1:37" x14ac:dyDescent="0.2">
      <c r="B182" t="s">
        <v>173</v>
      </c>
      <c r="C182" t="e">
        <f>IF(Utslag!#REF!+Utslag!#REF!+C176+Utslag!#REF!=0,Utslag!#REF!,0)</f>
        <v>#REF!</v>
      </c>
    </row>
    <row r="183" spans="1:37" x14ac:dyDescent="0.2">
      <c r="B183" t="s">
        <v>174</v>
      </c>
      <c r="C183" t="e">
        <f>IF(Utslag!#REF!+Utslag!#REF!+Utslag!#REF!+Utslag!#REF!=0,C176,0)</f>
        <v>#REF!</v>
      </c>
    </row>
    <row r="184" spans="1:37" x14ac:dyDescent="0.2">
      <c r="B184" t="s">
        <v>175</v>
      </c>
      <c r="C184" t="e">
        <f>IF(Utslag!#REF!+Utslag!#REF!+Utslag!#REF!+C176=0,Utslag!#REF!,0)</f>
        <v>#REF!</v>
      </c>
    </row>
    <row r="185" spans="1:37" x14ac:dyDescent="0.2">
      <c r="B185" t="s">
        <v>176</v>
      </c>
      <c r="C185" t="e">
        <f>IF(AND(Utslag!#REF!&gt;0,Utslag!#REF!&gt;0),0,Utslag!#REF!)</f>
        <v>#REF!</v>
      </c>
      <c r="F185" s="2"/>
      <c r="G185" s="2"/>
    </row>
    <row r="186" spans="1:37" x14ac:dyDescent="0.2">
      <c r="B186" t="s">
        <v>177</v>
      </c>
      <c r="C186" t="e">
        <f>IF(AND(Utslag!#REF!&gt;0,Utslag!#REF!&gt;0),0,IF(AND('Ark18'!C11&gt;6,'Ark18'!C11&lt;50,'Ark18'!C11*2000),IF('Ark18'!C11&gt;50,80000),0))</f>
        <v>#REF!</v>
      </c>
    </row>
    <row r="190" spans="1:37" ht="16.5" customHeight="1" x14ac:dyDescent="0.25">
      <c r="A190" s="20"/>
      <c r="B190" s="23"/>
      <c r="C190" s="21"/>
      <c r="D190" s="8"/>
      <c r="E190" s="8"/>
      <c r="F190" s="8"/>
      <c r="G190" s="8"/>
      <c r="H190" s="8"/>
      <c r="I190" s="8"/>
      <c r="J190" s="1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 customHeight="1" x14ac:dyDescent="0.25">
      <c r="A191" s="20"/>
      <c r="B191" s="23"/>
      <c r="C191" s="21"/>
      <c r="D191" s="8"/>
      <c r="E191" s="8"/>
      <c r="F191" s="8"/>
      <c r="G191" s="8"/>
      <c r="H191" s="8"/>
      <c r="I191" s="8"/>
      <c r="J191" s="1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3" spans="1:37" ht="16.5" customHeight="1" x14ac:dyDescent="0.25">
      <c r="A193" s="20"/>
      <c r="B193" s="23"/>
      <c r="C193" s="21"/>
      <c r="D193" s="8"/>
      <c r="E193" s="8"/>
      <c r="F193" s="8"/>
      <c r="G193" s="8"/>
      <c r="H193" s="8"/>
      <c r="I193" s="8"/>
      <c r="J193" s="1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 customHeight="1" x14ac:dyDescent="0.25">
      <c r="A194" s="20"/>
      <c r="B194" s="23"/>
      <c r="C194" s="21"/>
      <c r="D194" s="8"/>
      <c r="E194" s="8"/>
      <c r="F194" s="8"/>
      <c r="G194" s="8"/>
      <c r="H194" s="8"/>
      <c r="I194" s="8"/>
      <c r="J194" s="1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 customHeight="1" x14ac:dyDescent="0.25">
      <c r="A195" s="20"/>
      <c r="B195" s="23"/>
      <c r="C195" s="21"/>
      <c r="D195" s="8"/>
      <c r="E195" s="8"/>
      <c r="F195" s="8"/>
      <c r="G195" s="8"/>
      <c r="H195" s="8"/>
      <c r="I195" s="8"/>
      <c r="J195" s="1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7" spans="1:37" ht="16.5" customHeight="1" x14ac:dyDescent="0.25">
      <c r="A197" s="20"/>
      <c r="B197" s="23"/>
      <c r="C197" s="21"/>
      <c r="D197" s="8"/>
      <c r="E197" s="8"/>
      <c r="F197" s="8"/>
      <c r="G197" s="8"/>
      <c r="H197" s="8"/>
      <c r="I197" s="8"/>
      <c r="J197" s="1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5.75" customHeight="1" x14ac:dyDescent="0.25">
      <c r="A198" s="20"/>
      <c r="B198" s="22"/>
      <c r="C198" s="2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5" x14ac:dyDescent="0.25">
      <c r="A199" s="20"/>
      <c r="B199" s="19"/>
      <c r="C199" s="2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3" spans="1:37" x14ac:dyDescent="0.2">
      <c r="B203" t="s">
        <v>150</v>
      </c>
      <c r="C203" t="s">
        <v>27</v>
      </c>
      <c r="D203" s="144" t="s">
        <v>231</v>
      </c>
      <c r="E203" s="144" t="s">
        <v>234</v>
      </c>
      <c r="H203" t="s">
        <v>30</v>
      </c>
    </row>
    <row r="205" spans="1:37" x14ac:dyDescent="0.2">
      <c r="B205" t="s">
        <v>61</v>
      </c>
      <c r="C205" s="13">
        <v>1650</v>
      </c>
      <c r="D205" s="13">
        <v>1825</v>
      </c>
      <c r="E205" s="136">
        <f>D205-C205</f>
        <v>175</v>
      </c>
      <c r="H205">
        <f>E205*(Utslag!B46+Utslag!B47+Utslag!B48)</f>
        <v>0</v>
      </c>
      <c r="J205" s="248">
        <f>IF(Utslag!$B$13="Nei",0,Satser!$H$216)</f>
        <v>0</v>
      </c>
    </row>
    <row r="206" spans="1:37" x14ac:dyDescent="0.2">
      <c r="B206" t="s">
        <v>38</v>
      </c>
      <c r="C206" s="13">
        <v>800</v>
      </c>
      <c r="D206" s="13">
        <v>800</v>
      </c>
      <c r="E206" s="136">
        <f t="shared" ref="E206:E215" si="23">D206-C206</f>
        <v>0</v>
      </c>
      <c r="H206">
        <f>E206*Utslag!B45</f>
        <v>0</v>
      </c>
    </row>
    <row r="207" spans="1:37" x14ac:dyDescent="0.2">
      <c r="B207" t="s">
        <v>48</v>
      </c>
      <c r="C207" s="13">
        <v>500</v>
      </c>
      <c r="D207" s="13">
        <v>600</v>
      </c>
      <c r="E207" s="136">
        <f t="shared" si="23"/>
        <v>100</v>
      </c>
      <c r="H207">
        <f>E207*Utslag!B43</f>
        <v>0</v>
      </c>
    </row>
    <row r="208" spans="1:37" x14ac:dyDescent="0.2">
      <c r="B208" t="s">
        <v>47</v>
      </c>
      <c r="C208" s="13">
        <v>40</v>
      </c>
      <c r="D208" s="13">
        <v>45</v>
      </c>
      <c r="E208" s="136">
        <f t="shared" si="23"/>
        <v>5</v>
      </c>
      <c r="H208">
        <f>E208*(Utslag!B42+Utslag!B41*0.6)</f>
        <v>0</v>
      </c>
    </row>
    <row r="209" spans="2:9" x14ac:dyDescent="0.2">
      <c r="B209" t="s">
        <v>167</v>
      </c>
      <c r="C209" s="13">
        <v>4100</v>
      </c>
      <c r="D209" s="13">
        <v>4350</v>
      </c>
      <c r="E209" s="136">
        <f t="shared" si="23"/>
        <v>250</v>
      </c>
      <c r="H209">
        <f>E209*Utslag!B50</f>
        <v>0</v>
      </c>
    </row>
    <row r="210" spans="2:9" x14ac:dyDescent="0.2">
      <c r="B210" t="s">
        <v>16</v>
      </c>
      <c r="C210" s="13">
        <v>3000</v>
      </c>
      <c r="D210" s="13">
        <v>3250</v>
      </c>
      <c r="E210" s="136">
        <f t="shared" si="23"/>
        <v>250</v>
      </c>
      <c r="H210">
        <f>E210*Utslag!B51</f>
        <v>0</v>
      </c>
    </row>
    <row r="211" spans="2:9" x14ac:dyDescent="0.2">
      <c r="B211" t="s">
        <v>151</v>
      </c>
      <c r="C211" s="13">
        <v>730</v>
      </c>
      <c r="D211" s="13">
        <v>730</v>
      </c>
      <c r="E211" s="136">
        <f t="shared" si="23"/>
        <v>0</v>
      </c>
      <c r="H211">
        <f>E211*Utslag!B52</f>
        <v>0</v>
      </c>
    </row>
    <row r="212" spans="2:9" x14ac:dyDescent="0.2">
      <c r="B212" t="s">
        <v>168</v>
      </c>
      <c r="C212" s="13">
        <v>500</v>
      </c>
      <c r="D212" s="13">
        <v>500</v>
      </c>
      <c r="E212" s="136">
        <f t="shared" si="23"/>
        <v>0</v>
      </c>
      <c r="H212">
        <f>E212*Utslag!B56</f>
        <v>0</v>
      </c>
    </row>
    <row r="213" spans="2:9" x14ac:dyDescent="0.2">
      <c r="B213" t="s">
        <v>152</v>
      </c>
      <c r="C213" s="13">
        <v>517</v>
      </c>
      <c r="D213" s="13">
        <v>517</v>
      </c>
      <c r="E213" s="136">
        <f t="shared" si="23"/>
        <v>0</v>
      </c>
    </row>
    <row r="214" spans="2:9" x14ac:dyDescent="0.2">
      <c r="B214" t="s">
        <v>11</v>
      </c>
      <c r="C214" s="13">
        <v>315</v>
      </c>
      <c r="D214" s="13">
        <v>315</v>
      </c>
      <c r="E214" s="136">
        <f t="shared" si="23"/>
        <v>0</v>
      </c>
      <c r="F214" s="15"/>
      <c r="G214" s="15"/>
      <c r="I214" s="17"/>
    </row>
    <row r="215" spans="2:9" x14ac:dyDescent="0.2">
      <c r="B215" t="s">
        <v>7</v>
      </c>
      <c r="C215" s="13">
        <v>353</v>
      </c>
      <c r="D215" s="13">
        <v>353</v>
      </c>
      <c r="E215" s="136">
        <f t="shared" si="23"/>
        <v>0</v>
      </c>
      <c r="F215" s="15"/>
      <c r="G215" s="15"/>
      <c r="H215">
        <f>E215*Utslag!B53</f>
        <v>0</v>
      </c>
      <c r="I215" s="17"/>
    </row>
    <row r="216" spans="2:9" x14ac:dyDescent="0.2">
      <c r="D216" s="1"/>
      <c r="E216" s="1"/>
      <c r="F216" s="15" t="s">
        <v>155</v>
      </c>
      <c r="G216" s="15"/>
      <c r="H216" s="16">
        <f>SUM(H205:H215)</f>
        <v>0</v>
      </c>
      <c r="I216" s="16"/>
    </row>
    <row r="217" spans="2:9" x14ac:dyDescent="0.2">
      <c r="D217" s="1"/>
      <c r="E217" s="1"/>
      <c r="F217" s="15"/>
      <c r="G217" s="15"/>
      <c r="H217" s="16"/>
      <c r="I217" s="17">
        <f>I216+H216</f>
        <v>0</v>
      </c>
    </row>
    <row r="218" spans="2:9" x14ac:dyDescent="0.2">
      <c r="D218" s="1"/>
      <c r="E218" s="1"/>
      <c r="F218" s="15"/>
      <c r="G218" s="15"/>
      <c r="H218" s="16"/>
      <c r="I218" s="17"/>
    </row>
    <row r="219" spans="2:9" x14ac:dyDescent="0.2">
      <c r="D219" s="1"/>
      <c r="E219" s="1"/>
      <c r="F219" s="5"/>
      <c r="G219" s="5"/>
    </row>
    <row r="220" spans="2:9" x14ac:dyDescent="0.2">
      <c r="C220" t="s">
        <v>179</v>
      </c>
      <c r="D220" s="132" t="s">
        <v>162</v>
      </c>
      <c r="E220" s="132" t="s">
        <v>56</v>
      </c>
      <c r="F220" s="132" t="s">
        <v>16</v>
      </c>
      <c r="G220" s="132"/>
      <c r="H220" s="132" t="s">
        <v>178</v>
      </c>
    </row>
    <row r="221" spans="2:9" x14ac:dyDescent="0.2">
      <c r="C221" t="s">
        <v>180</v>
      </c>
      <c r="D221">
        <f>D222/5</f>
        <v>24400</v>
      </c>
      <c r="E221" s="5">
        <f>130000/27</f>
        <v>4814.8148148148148</v>
      </c>
      <c r="F221">
        <v>0</v>
      </c>
      <c r="H221">
        <v>0</v>
      </c>
    </row>
    <row r="222" spans="2:9" x14ac:dyDescent="0.2">
      <c r="C222" t="s">
        <v>181</v>
      </c>
      <c r="D222">
        <f>IF(Utslag!B7&gt;5,130000,IF(Utslag!B7=2,115000,122000))</f>
        <v>122000</v>
      </c>
      <c r="E222">
        <v>130000</v>
      </c>
      <c r="F222">
        <v>0</v>
      </c>
      <c r="H222">
        <v>0</v>
      </c>
    </row>
    <row r="223" spans="2:9" x14ac:dyDescent="0.2">
      <c r="C223" t="s">
        <v>182</v>
      </c>
    </row>
    <row r="224" spans="2:9" x14ac:dyDescent="0.2">
      <c r="C224" t="s">
        <v>180</v>
      </c>
      <c r="D224">
        <f>IF(Utslag!B7&lt;6,25000,24800)</f>
        <v>25000</v>
      </c>
      <c r="E224" s="5">
        <f>133000/27</f>
        <v>4925.9259259259261</v>
      </c>
      <c r="F224">
        <v>0</v>
      </c>
      <c r="H224">
        <v>0</v>
      </c>
    </row>
    <row r="225" spans="2:12" x14ac:dyDescent="0.2">
      <c r="C225" t="s">
        <v>181</v>
      </c>
      <c r="D225">
        <f>IF(Utslag!B7&gt;5,133000,IF(Utslag!B7=2,118000,125000))</f>
        <v>125000</v>
      </c>
      <c r="E225">
        <v>133000</v>
      </c>
      <c r="F225">
        <v>0</v>
      </c>
      <c r="H225">
        <v>0</v>
      </c>
    </row>
    <row r="227" spans="2:12" x14ac:dyDescent="0.2">
      <c r="C227" t="s">
        <v>183</v>
      </c>
    </row>
    <row r="228" spans="2:12" x14ac:dyDescent="0.2">
      <c r="C228" t="s">
        <v>179</v>
      </c>
      <c r="D228">
        <f>IF('Ark18'!$C$10&lt;5,'Ark18'!$C$10*Satser!D$221,Satser!D$222)</f>
        <v>0</v>
      </c>
      <c r="E228">
        <f>IF('Ark18'!$C$13&lt;27,'Ark18'!$C$13*Satser!E$221,Satser!E$222)</f>
        <v>0</v>
      </c>
      <c r="F228">
        <f>IF('Ark18'!$C$11&lt;6,0,IF('Ark18'!$C$11&lt;50,'Ark18'!$C$11*Satser!F$221,Satser!F$222))</f>
        <v>0</v>
      </c>
      <c r="H228">
        <f>IF('Ark18'!$C$14&lt;10,0,IF('Ark18'!$C$14&lt;50,'Ark18'!$C$14*Satser!H$221,Satser!H$222))</f>
        <v>0</v>
      </c>
      <c r="I228">
        <f>MAX(D228:H228)</f>
        <v>0</v>
      </c>
    </row>
    <row r="229" spans="2:12" x14ac:dyDescent="0.2">
      <c r="C229" t="s">
        <v>184</v>
      </c>
      <c r="D229">
        <f>IF('Ark18'!$C$10&lt;5,'Ark18'!$C$10*Satser!D$224,Satser!D$225)</f>
        <v>0</v>
      </c>
      <c r="E229">
        <f>IF('Ark18'!$C$13&lt;27,'Ark18'!$C$13*Satser!E$224,Satser!E$225)</f>
        <v>0</v>
      </c>
      <c r="F229">
        <f>IF('Ark18'!$C$11&lt;6,0,IF('Ark18'!$C$11&lt;50,'Ark18'!$C$11*Satser!F$224,Satser!F$225))</f>
        <v>0</v>
      </c>
      <c r="H229">
        <f>IF('Ark18'!$C$14&lt;10,0,IF('Ark18'!$C$14&lt;50,'Ark18'!$C$14*Satser!H$224,Satser!H$225))</f>
        <v>0</v>
      </c>
      <c r="I229">
        <f>MAX(D229:H229)</f>
        <v>0</v>
      </c>
    </row>
    <row r="230" spans="2:12" x14ac:dyDescent="0.2">
      <c r="C230" t="s">
        <v>185</v>
      </c>
      <c r="D230">
        <f>IF($I$229=D229,0,D229)</f>
        <v>0</v>
      </c>
      <c r="E230">
        <f>IF($I$229=E229,0,E229)</f>
        <v>0</v>
      </c>
      <c r="F230">
        <f>IF($I$229=F229,0,F229)</f>
        <v>0</v>
      </c>
      <c r="H230">
        <f>IF($I$229=H229,0,H229)</f>
        <v>0</v>
      </c>
      <c r="I230">
        <f>MAX(D230:H230)</f>
        <v>0</v>
      </c>
    </row>
    <row r="231" spans="2:12" x14ac:dyDescent="0.2">
      <c r="C231" s="50" t="s">
        <v>186</v>
      </c>
      <c r="D231" s="50"/>
      <c r="E231" s="50"/>
      <c r="F231" s="50"/>
      <c r="G231" s="50"/>
      <c r="H231" s="50"/>
      <c r="I231" s="50">
        <f>SUM(I229:I230)-I228</f>
        <v>0</v>
      </c>
    </row>
    <row r="234" spans="2:12" x14ac:dyDescent="0.2">
      <c r="I234" s="144" t="s">
        <v>195</v>
      </c>
      <c r="K234" s="144" t="s">
        <v>196</v>
      </c>
      <c r="L234">
        <v>3</v>
      </c>
    </row>
    <row r="235" spans="2:12" x14ac:dyDescent="0.2">
      <c r="H235" s="144" t="s">
        <v>162</v>
      </c>
      <c r="I235" s="145">
        <v>3600</v>
      </c>
      <c r="J235" s="145">
        <v>18000</v>
      </c>
      <c r="K235" s="145">
        <v>0</v>
      </c>
      <c r="L235" s="145">
        <v>0</v>
      </c>
    </row>
    <row r="236" spans="2:12" x14ac:dyDescent="0.2">
      <c r="H236" s="144" t="s">
        <v>56</v>
      </c>
      <c r="I236" s="145">
        <v>667</v>
      </c>
      <c r="J236" s="145">
        <v>18000</v>
      </c>
      <c r="K236" s="145"/>
      <c r="L236" s="145"/>
    </row>
    <row r="237" spans="2:12" x14ac:dyDescent="0.2">
      <c r="H237" s="144" t="s">
        <v>16</v>
      </c>
      <c r="I237" s="145">
        <v>360</v>
      </c>
      <c r="J237" s="145">
        <v>18000</v>
      </c>
      <c r="K237" s="145"/>
      <c r="L237" s="145"/>
    </row>
    <row r="239" spans="2:12" ht="15" x14ac:dyDescent="0.25">
      <c r="B239" s="230" t="s">
        <v>192</v>
      </c>
      <c r="C239" s="139">
        <v>39630</v>
      </c>
      <c r="D239" s="139">
        <v>39448</v>
      </c>
      <c r="H239" s="144" t="s">
        <v>162</v>
      </c>
      <c r="I239">
        <f>I231</f>
        <v>0</v>
      </c>
    </row>
    <row r="240" spans="2:12" x14ac:dyDescent="0.2">
      <c r="B240" s="106" t="s">
        <v>162</v>
      </c>
      <c r="C240" s="107">
        <v>0.28000000000000003</v>
      </c>
      <c r="D240" s="91">
        <v>0</v>
      </c>
      <c r="H240" s="144" t="s">
        <v>16</v>
      </c>
      <c r="I240" s="146">
        <f>IF('Ark18'!C11&lt;6,0,IF('Ark18'!C11&lt;40,25*'Ark18'!C11,IF('Ark18'!C11&lt;40,0*'Ark18'!C11+1000,1000)))</f>
        <v>0</v>
      </c>
    </row>
    <row r="241" spans="2:12" x14ac:dyDescent="0.2">
      <c r="B241" s="110" t="s">
        <v>6</v>
      </c>
      <c r="C241" s="111">
        <v>0</v>
      </c>
      <c r="D241" s="91">
        <v>0</v>
      </c>
      <c r="H241" s="144"/>
    </row>
    <row r="242" spans="2:12" x14ac:dyDescent="0.2">
      <c r="B242" s="110" t="s">
        <v>78</v>
      </c>
      <c r="C242" s="111">
        <v>0</v>
      </c>
      <c r="D242" s="91">
        <v>0</v>
      </c>
    </row>
    <row r="243" spans="2:12" x14ac:dyDescent="0.2">
      <c r="B243" s="110" t="s">
        <v>133</v>
      </c>
      <c r="C243" s="111">
        <v>0</v>
      </c>
      <c r="D243" s="91"/>
    </row>
    <row r="244" spans="2:12" x14ac:dyDescent="0.2">
      <c r="B244" s="110" t="s">
        <v>80</v>
      </c>
      <c r="C244" s="111">
        <v>0</v>
      </c>
      <c r="D244" s="91">
        <v>0</v>
      </c>
    </row>
    <row r="245" spans="2:12" x14ac:dyDescent="0.2">
      <c r="B245" s="143" t="s">
        <v>238</v>
      </c>
      <c r="C245" s="229">
        <v>-0.05</v>
      </c>
      <c r="D245" s="91">
        <v>0</v>
      </c>
    </row>
    <row r="246" spans="2:12" x14ac:dyDescent="0.2">
      <c r="B246" s="143" t="s">
        <v>239</v>
      </c>
      <c r="C246" s="229">
        <v>-0.1</v>
      </c>
      <c r="D246" s="91"/>
    </row>
    <row r="247" spans="2:12" x14ac:dyDescent="0.2">
      <c r="B247" s="143" t="s">
        <v>240</v>
      </c>
      <c r="C247" s="229">
        <v>-0.1</v>
      </c>
      <c r="D247" s="91"/>
    </row>
    <row r="248" spans="2:12" x14ac:dyDescent="0.2">
      <c r="B248" s="143" t="s">
        <v>51</v>
      </c>
      <c r="C248" s="186">
        <v>-0.1</v>
      </c>
      <c r="D248" s="91"/>
    </row>
    <row r="249" spans="2:12" x14ac:dyDescent="0.2">
      <c r="B249" s="110" t="s">
        <v>166</v>
      </c>
      <c r="C249" s="111">
        <v>-0.1</v>
      </c>
      <c r="D249" s="91"/>
      <c r="F249" s="63" t="s">
        <v>117</v>
      </c>
      <c r="G249" s="33"/>
      <c r="H249" s="38"/>
      <c r="I249" s="39"/>
      <c r="J249" s="40"/>
      <c r="K249" s="40"/>
      <c r="L249" s="71"/>
    </row>
    <row r="250" spans="2:12" x14ac:dyDescent="0.2">
      <c r="B250" s="110" t="s">
        <v>68</v>
      </c>
      <c r="C250" s="111">
        <v>0</v>
      </c>
      <c r="D250" s="91"/>
      <c r="F250" s="59" t="s">
        <v>118</v>
      </c>
      <c r="G250" s="1"/>
      <c r="H250" s="13"/>
      <c r="I250" s="138"/>
      <c r="J250" s="136">
        <f>'Ark18'!C20</f>
        <v>0</v>
      </c>
      <c r="K250">
        <f>H250*J250</f>
        <v>0</v>
      </c>
      <c r="L250" s="72">
        <f>I250*J250</f>
        <v>0</v>
      </c>
    </row>
    <row r="251" spans="2:12" x14ac:dyDescent="0.2">
      <c r="B251" s="110" t="s">
        <v>79</v>
      </c>
      <c r="C251" s="111">
        <v>0</v>
      </c>
      <c r="D251" s="91">
        <v>0</v>
      </c>
      <c r="F251" s="59" t="s">
        <v>147</v>
      </c>
      <c r="G251" s="1"/>
      <c r="H251" s="13">
        <v>500</v>
      </c>
      <c r="I251" s="138">
        <v>500</v>
      </c>
      <c r="J251">
        <v>0</v>
      </c>
      <c r="K251">
        <f>H251*J251</f>
        <v>0</v>
      </c>
      <c r="L251" s="72">
        <f>I251*J251</f>
        <v>0</v>
      </c>
    </row>
    <row r="252" spans="2:12" x14ac:dyDescent="0.2">
      <c r="B252" s="110" t="s">
        <v>38</v>
      </c>
      <c r="C252" s="111">
        <v>0.42</v>
      </c>
      <c r="D252" s="91">
        <v>0</v>
      </c>
      <c r="F252" s="60" t="s">
        <v>120</v>
      </c>
      <c r="G252" s="3"/>
      <c r="H252" s="12">
        <v>300</v>
      </c>
      <c r="I252" s="25">
        <v>300</v>
      </c>
      <c r="J252" s="7"/>
      <c r="K252" s="7"/>
      <c r="L252" s="61"/>
    </row>
    <row r="253" spans="2:12" x14ac:dyDescent="0.2">
      <c r="B253" s="143" t="s">
        <v>142</v>
      </c>
      <c r="C253" s="147">
        <v>7.5999999999999998E-2</v>
      </c>
      <c r="D253" s="140">
        <v>0</v>
      </c>
    </row>
    <row r="254" spans="2:12" x14ac:dyDescent="0.2">
      <c r="B254" s="143" t="s">
        <v>61</v>
      </c>
      <c r="C254" s="113">
        <v>7.5999999999999998E-2</v>
      </c>
      <c r="D254" s="140">
        <v>0</v>
      </c>
    </row>
    <row r="258" spans="2:4" x14ac:dyDescent="0.2">
      <c r="B258" t="s">
        <v>194</v>
      </c>
      <c r="C258">
        <v>0</v>
      </c>
    </row>
    <row r="260" spans="2:4" x14ac:dyDescent="0.2">
      <c r="B260" t="s">
        <v>77</v>
      </c>
      <c r="C260">
        <v>0</v>
      </c>
    </row>
    <row r="264" spans="2:4" x14ac:dyDescent="0.2">
      <c r="C264">
        <f>1.5</f>
        <v>1.5</v>
      </c>
    </row>
    <row r="265" spans="2:4" x14ac:dyDescent="0.2">
      <c r="C265">
        <v>26.22</v>
      </c>
    </row>
    <row r="266" spans="2:4" x14ac:dyDescent="0.2">
      <c r="C266">
        <f>C264/C265</f>
        <v>5.7208237986270026E-2</v>
      </c>
    </row>
    <row r="271" spans="2:4" x14ac:dyDescent="0.2">
      <c r="B271" s="119" t="s">
        <v>114</v>
      </c>
      <c r="C271" s="135"/>
      <c r="D271" s="112" t="s">
        <v>5</v>
      </c>
    </row>
    <row r="273" spans="2:3" x14ac:dyDescent="0.2">
      <c r="C273" s="144"/>
    </row>
    <row r="274" spans="2:3" x14ac:dyDescent="0.2">
      <c r="B274" s="144"/>
    </row>
    <row r="275" spans="2:3" x14ac:dyDescent="0.2">
      <c r="B275" s="144"/>
    </row>
    <row r="276" spans="2:3" x14ac:dyDescent="0.2">
      <c r="B276" s="144"/>
    </row>
    <row r="277" spans="2:3" x14ac:dyDescent="0.2">
      <c r="B277" s="144"/>
    </row>
    <row r="278" spans="2:3" x14ac:dyDescent="0.2">
      <c r="B278" s="144"/>
    </row>
    <row r="279" spans="2:3" x14ac:dyDescent="0.2">
      <c r="B279" s="144"/>
    </row>
    <row r="280" spans="2:3" x14ac:dyDescent="0.2">
      <c r="B280" s="144"/>
    </row>
    <row r="281" spans="2:3" x14ac:dyDescent="0.2">
      <c r="B281" s="144"/>
    </row>
    <row r="282" spans="2:3" x14ac:dyDescent="0.2">
      <c r="B282" s="144"/>
    </row>
    <row r="283" spans="2:3" x14ac:dyDescent="0.2">
      <c r="B283" s="144"/>
    </row>
    <row r="284" spans="2:3" x14ac:dyDescent="0.2">
      <c r="B284" s="144"/>
    </row>
    <row r="285" spans="2:3" x14ac:dyDescent="0.2">
      <c r="B285" s="144"/>
    </row>
    <row r="286" spans="2:3" x14ac:dyDescent="0.2">
      <c r="B286" s="144"/>
    </row>
    <row r="287" spans="2:3" x14ac:dyDescent="0.2">
      <c r="B287" s="144"/>
    </row>
    <row r="288" spans="2:3" x14ac:dyDescent="0.2">
      <c r="B288" s="144"/>
    </row>
    <row r="289" spans="2:2" x14ac:dyDescent="0.2">
      <c r="B289" s="144"/>
    </row>
    <row r="290" spans="2:2" x14ac:dyDescent="0.2">
      <c r="B290" s="144"/>
    </row>
    <row r="291" spans="2:2" x14ac:dyDescent="0.2">
      <c r="B291" s="144"/>
    </row>
    <row r="292" spans="2:2" x14ac:dyDescent="0.2">
      <c r="B292" s="144"/>
    </row>
    <row r="293" spans="2:2" x14ac:dyDescent="0.2">
      <c r="B293" s="144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55" t="s">
        <v>142</v>
      </c>
      <c r="C6" s="185"/>
      <c r="D6" s="152" t="s">
        <v>3</v>
      </c>
    </row>
    <row r="7" spans="2:4" ht="15" x14ac:dyDescent="0.25">
      <c r="B7" s="155" t="s">
        <v>140</v>
      </c>
      <c r="C7" s="181"/>
      <c r="D7" s="152" t="s">
        <v>3</v>
      </c>
    </row>
    <row r="8" spans="2:4" ht="15" x14ac:dyDescent="0.25">
      <c r="B8" s="155" t="s">
        <v>51</v>
      </c>
      <c r="C8" s="185"/>
      <c r="D8" s="152" t="s">
        <v>3</v>
      </c>
    </row>
    <row r="9" spans="2:4" ht="15" x14ac:dyDescent="0.25">
      <c r="B9" s="155" t="s">
        <v>50</v>
      </c>
      <c r="C9" s="185"/>
      <c r="D9" s="152" t="s">
        <v>3</v>
      </c>
    </row>
    <row r="10" spans="2:4" ht="15" x14ac:dyDescent="0.25">
      <c r="B10" s="155" t="s">
        <v>4</v>
      </c>
      <c r="C10" s="184"/>
      <c r="D10" s="152" t="s">
        <v>5</v>
      </c>
    </row>
    <row r="11" spans="2:4" ht="15" x14ac:dyDescent="0.25">
      <c r="B11" s="155" t="s">
        <v>187</v>
      </c>
      <c r="C11" s="184"/>
      <c r="D11" s="152" t="s">
        <v>5</v>
      </c>
    </row>
    <row r="12" spans="2:4" ht="15" x14ac:dyDescent="0.25">
      <c r="B12" s="155" t="s">
        <v>6</v>
      </c>
      <c r="C12" s="184"/>
      <c r="D12" s="152" t="s">
        <v>5</v>
      </c>
    </row>
    <row r="13" spans="2:4" ht="15" x14ac:dyDescent="0.25">
      <c r="B13" s="155" t="s">
        <v>64</v>
      </c>
      <c r="C13" s="184"/>
      <c r="D13" s="152" t="s">
        <v>5</v>
      </c>
    </row>
    <row r="14" spans="2:4" ht="15" x14ac:dyDescent="0.25">
      <c r="B14" s="155" t="s">
        <v>168</v>
      </c>
      <c r="C14" s="184"/>
      <c r="D14" s="152" t="s">
        <v>5</v>
      </c>
    </row>
    <row r="15" spans="2:4" ht="15" x14ac:dyDescent="0.25">
      <c r="B15" s="155" t="s">
        <v>211</v>
      </c>
      <c r="C15" s="184"/>
      <c r="D15" s="152" t="s">
        <v>5</v>
      </c>
    </row>
    <row r="16" spans="2:4" ht="15" x14ac:dyDescent="0.25">
      <c r="B16" s="155" t="s">
        <v>205</v>
      </c>
      <c r="C16" s="184"/>
      <c r="D16" s="152" t="s">
        <v>5</v>
      </c>
    </row>
    <row r="17" spans="2:4" ht="15" x14ac:dyDescent="0.25">
      <c r="B17" s="150" t="s">
        <v>131</v>
      </c>
      <c r="C17" s="162"/>
      <c r="D17" s="152"/>
    </row>
    <row r="18" spans="2:4" ht="15" x14ac:dyDescent="0.25">
      <c r="B18" s="155" t="s">
        <v>160</v>
      </c>
      <c r="C18" s="181"/>
      <c r="D18" s="152" t="s">
        <v>5</v>
      </c>
    </row>
    <row r="19" spans="2:4" ht="15" x14ac:dyDescent="0.25">
      <c r="B19" s="156" t="s">
        <v>161</v>
      </c>
      <c r="C19" s="157"/>
      <c r="D19" s="154" t="s">
        <v>5</v>
      </c>
    </row>
    <row r="20" spans="2:4" ht="15" x14ac:dyDescent="0.25">
      <c r="B20" s="155" t="s">
        <v>191</v>
      </c>
      <c r="C20" s="181"/>
      <c r="D20" s="152" t="s">
        <v>59</v>
      </c>
    </row>
    <row r="21" spans="2:4" ht="15" x14ac:dyDescent="0.25">
      <c r="B21" s="156" t="s">
        <v>126</v>
      </c>
      <c r="C21" s="191"/>
      <c r="D21" s="154" t="s">
        <v>5</v>
      </c>
    </row>
    <row r="22" spans="2:4" ht="15" x14ac:dyDescent="0.25">
      <c r="B22" s="188" t="s">
        <v>149</v>
      </c>
      <c r="C22" s="161"/>
      <c r="D22" s="189" t="s">
        <v>2</v>
      </c>
    </row>
    <row r="23" spans="2:4" ht="15" x14ac:dyDescent="0.25">
      <c r="B23" s="150" t="s">
        <v>158</v>
      </c>
      <c r="C23" s="151"/>
      <c r="D23" s="152"/>
    </row>
    <row r="24" spans="2:4" ht="15" x14ac:dyDescent="0.25">
      <c r="B24" s="150" t="s">
        <v>198</v>
      </c>
      <c r="C24" s="151" t="s">
        <v>210</v>
      </c>
      <c r="D24" s="152"/>
    </row>
    <row r="25" spans="2:4" ht="15" x14ac:dyDescent="0.25">
      <c r="B25" s="153" t="s">
        <v>157</v>
      </c>
      <c r="C25" s="176"/>
      <c r="D25" s="154"/>
    </row>
    <row r="29" spans="2:4" x14ac:dyDescent="0.2">
      <c r="B29" s="1"/>
      <c r="C29" s="1"/>
      <c r="D29" s="1"/>
    </row>
    <row r="30" spans="2:4" x14ac:dyDescent="0.2">
      <c r="B30" s="1"/>
      <c r="C30" s="1"/>
      <c r="D30" s="1"/>
    </row>
    <row r="31" spans="2:4" x14ac:dyDescent="0.2">
      <c r="B31" s="1"/>
      <c r="C31" s="1"/>
      <c r="D31" s="1"/>
    </row>
    <row r="32" spans="2:4" ht="15.75" thickBot="1" x14ac:dyDescent="0.3">
      <c r="B32" s="192" t="s">
        <v>221</v>
      </c>
      <c r="C32" s="193"/>
      <c r="D32" s="194"/>
    </row>
    <row r="33" spans="2:4" x14ac:dyDescent="0.2">
      <c r="B33" s="190"/>
      <c r="C33" s="190"/>
      <c r="D33" s="190"/>
    </row>
    <row r="34" spans="2:4" x14ac:dyDescent="0.2">
      <c r="B34" s="190"/>
      <c r="C34" s="190"/>
      <c r="D34" s="190"/>
    </row>
    <row r="35" spans="2:4" x14ac:dyDescent="0.2">
      <c r="B35" s="190"/>
      <c r="C35" s="190"/>
      <c r="D35" s="190"/>
    </row>
    <row r="36" spans="2:4" x14ac:dyDescent="0.2">
      <c r="B36" s="190"/>
      <c r="C36" s="190"/>
      <c r="D36" s="190"/>
    </row>
    <row r="37" spans="2:4" x14ac:dyDescent="0.2">
      <c r="B37" s="190"/>
      <c r="C37" s="190"/>
      <c r="D37" s="190"/>
    </row>
    <row r="38" spans="2:4" x14ac:dyDescent="0.2">
      <c r="B38" s="190"/>
      <c r="C38" s="190"/>
      <c r="D38" s="190"/>
    </row>
    <row r="39" spans="2:4" x14ac:dyDescent="0.2">
      <c r="B39" s="1"/>
      <c r="C39" s="1"/>
      <c r="D39" s="1"/>
    </row>
    <row r="40" spans="2:4" ht="15" x14ac:dyDescent="0.25">
      <c r="B40" s="155" t="s">
        <v>142</v>
      </c>
      <c r="C40" s="185"/>
      <c r="D40" s="152" t="s">
        <v>3</v>
      </c>
    </row>
    <row r="41" spans="2:4" ht="15" x14ac:dyDescent="0.25">
      <c r="B41" s="155" t="s">
        <v>140</v>
      </c>
      <c r="C41" s="181"/>
      <c r="D41" s="152" t="s">
        <v>3</v>
      </c>
    </row>
    <row r="42" spans="2:4" ht="15" x14ac:dyDescent="0.25">
      <c r="B42" s="155" t="s">
        <v>51</v>
      </c>
      <c r="C42" s="185"/>
      <c r="D42" s="152" t="s">
        <v>3</v>
      </c>
    </row>
    <row r="43" spans="2:4" ht="15" x14ac:dyDescent="0.25">
      <c r="B43" s="155" t="s">
        <v>50</v>
      </c>
      <c r="C43" s="185"/>
      <c r="D43" s="152" t="s">
        <v>3</v>
      </c>
    </row>
    <row r="44" spans="2:4" x14ac:dyDescent="0.2">
      <c r="B44" s="1"/>
      <c r="C44" s="1"/>
      <c r="D44" s="1"/>
    </row>
    <row r="45" spans="2:4" x14ac:dyDescent="0.2">
      <c r="B45" s="1"/>
      <c r="C45" s="1"/>
      <c r="D45" s="1"/>
    </row>
    <row r="46" spans="2:4" x14ac:dyDescent="0.2">
      <c r="B46" s="1"/>
      <c r="C46" s="1"/>
      <c r="D46" s="1"/>
    </row>
    <row r="47" spans="2:4" x14ac:dyDescent="0.2">
      <c r="B47" s="1"/>
      <c r="C47" s="1"/>
      <c r="D47" s="1"/>
    </row>
    <row r="48" spans="2:4" x14ac:dyDescent="0.2">
      <c r="B48" s="1"/>
      <c r="C48" s="1"/>
      <c r="D48" s="1"/>
    </row>
    <row r="49" spans="2:4" ht="15" x14ac:dyDescent="0.25">
      <c r="B49" s="155" t="s">
        <v>211</v>
      </c>
      <c r="C49" s="184"/>
      <c r="D49" s="152" t="s">
        <v>5</v>
      </c>
    </row>
    <row r="50" spans="2:4" ht="15" x14ac:dyDescent="0.25">
      <c r="B50" s="155" t="s">
        <v>205</v>
      </c>
      <c r="C50" s="184"/>
      <c r="D50" s="152" t="s">
        <v>5</v>
      </c>
    </row>
    <row r="51" spans="2:4" ht="15" x14ac:dyDescent="0.25">
      <c r="B51" s="150" t="s">
        <v>131</v>
      </c>
      <c r="C51" s="162"/>
      <c r="D51" s="152"/>
    </row>
    <row r="52" spans="2:4" ht="15" x14ac:dyDescent="0.25">
      <c r="B52" s="155" t="s">
        <v>160</v>
      </c>
      <c r="C52" s="181"/>
      <c r="D52" s="152" t="s">
        <v>5</v>
      </c>
    </row>
    <row r="53" spans="2:4" ht="15" x14ac:dyDescent="0.25">
      <c r="B53" s="156" t="s">
        <v>161</v>
      </c>
      <c r="C53" s="157"/>
      <c r="D53" s="154" t="s">
        <v>5</v>
      </c>
    </row>
    <row r="54" spans="2:4" ht="15" x14ac:dyDescent="0.25">
      <c r="B54" s="155" t="s">
        <v>191</v>
      </c>
      <c r="C54" s="181"/>
      <c r="D54" s="152" t="s">
        <v>59</v>
      </c>
    </row>
    <row r="55" spans="2:4" ht="15" x14ac:dyDescent="0.25">
      <c r="B55" s="156" t="s">
        <v>126</v>
      </c>
      <c r="C55" s="191"/>
      <c r="D55" s="154" t="s">
        <v>5</v>
      </c>
    </row>
    <row r="56" spans="2:4" ht="15" x14ac:dyDescent="0.25">
      <c r="B56" s="188" t="s">
        <v>149</v>
      </c>
      <c r="C56" s="161"/>
      <c r="D56" s="189" t="s">
        <v>2</v>
      </c>
    </row>
    <row r="57" spans="2:4" ht="15" x14ac:dyDescent="0.25">
      <c r="B57" s="150" t="s">
        <v>158</v>
      </c>
      <c r="C57" s="151"/>
      <c r="D57" s="152"/>
    </row>
    <row r="58" spans="2:4" ht="15" x14ac:dyDescent="0.25">
      <c r="B58" s="150" t="s">
        <v>198</v>
      </c>
      <c r="C58" s="151" t="s">
        <v>210</v>
      </c>
      <c r="D58" s="152"/>
    </row>
    <row r="59" spans="2:4" ht="15" x14ac:dyDescent="0.25">
      <c r="B59" s="153" t="s">
        <v>157</v>
      </c>
      <c r="C59" s="176"/>
      <c r="D59" s="154"/>
    </row>
    <row r="60" spans="2:4" x14ac:dyDescent="0.2">
      <c r="B60" s="190"/>
      <c r="C60" s="190"/>
      <c r="D60" s="190"/>
    </row>
    <row r="61" spans="2:4" x14ac:dyDescent="0.2">
      <c r="B61" s="190"/>
      <c r="C61" s="190"/>
      <c r="D61" s="190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10</vt:i4>
      </vt:variant>
    </vt:vector>
  </HeadingPairs>
  <TitlesOfParts>
    <vt:vector size="32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distrmelk</vt:lpstr>
      <vt:lpstr>Dmelk</vt:lpstr>
      <vt:lpstr>innm</vt:lpstr>
      <vt:lpstr>melk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Huus</cp:lastModifiedBy>
  <cp:lastPrinted>2023-04-26T13:21:15Z</cp:lastPrinted>
  <dcterms:created xsi:type="dcterms:W3CDTF">2000-05-18T12:37:17Z</dcterms:created>
  <dcterms:modified xsi:type="dcterms:W3CDTF">2023-05-06T13:12:18Z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