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jh\Downloads\"/>
    </mc:Choice>
  </mc:AlternateContent>
  <xr:revisionPtr revIDLastSave="0" documentId="8_{3E68C9BD-6EEB-4F8C-93FF-8FF791C76722}" xr6:coauthVersionLast="47" xr6:coauthVersionMax="47" xr10:uidLastSave="{00000000-0000-0000-0000-000000000000}"/>
  <bookViews>
    <workbookView xWindow="-80" yWindow="-80" windowWidth="19360" windowHeight="10360" tabRatio="601" firstSheet="1" activeTab="1" xr2:uid="{00000000-000D-0000-FFFF-FFFF00000000}"/>
  </bookViews>
  <sheets>
    <sheet name="tilbud" sheetId="1" state="hidden" r:id="rId1"/>
    <sheet name="Utslag" sheetId="2" r:id="rId2"/>
    <sheet name="Ark5" sheetId="24" state="hidden" r:id="rId3"/>
    <sheet name="Satser" sheetId="3" state="hidden" r:id="rId4"/>
    <sheet name="Ark18" sheetId="21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9" sheetId="22" state="hidden" r:id="rId21"/>
    <sheet name="Ark20" sheetId="23" state="hidden" r:id="rId22"/>
  </sheets>
  <definedNames>
    <definedName name="AK">Satser!#REF!</definedName>
    <definedName name="AK_korn3">tilbud!$B$3:$I$15</definedName>
    <definedName name="AKkorn2">Satser!$B$3:$J$9</definedName>
    <definedName name="arealtilsk">Satser!#REF!</definedName>
    <definedName name="Avlsgris">Satser!#REF!</definedName>
    <definedName name="dismelk">tilbud!$N$24:$O$33</definedName>
    <definedName name="distrmelk">Satser!$N$93</definedName>
    <definedName name="DKfrukt">Satser!#REF!</definedName>
    <definedName name="Dmelk">Satser!$L$90:$X$91</definedName>
    <definedName name="Grovfor">Satser!#REF!</definedName>
    <definedName name="Grovfor2">Satser!#REF!</definedName>
    <definedName name="innm">tilbud!$L$3:$R$5</definedName>
    <definedName name="melk">Satser!$M$90:$Y$91</definedName>
    <definedName name="nyttak">Satser!$A$47:$J$49</definedName>
    <definedName name="pleie">Satser!$A$25:$J$29</definedName>
    <definedName name="_xlnm.Print_Area" localSheetId="1">Utslag!$A$1:$F$76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Utslag!$A$1:$F$76</definedName>
    <definedName name="Z_CCA592C6_FA5B_4C3F_AAFD_7D399E08D11C_.wvu.Rows" localSheetId="1" hidden="1">Utslag!$132:$132,Utslag!#REF!</definedName>
    <definedName name="økohusd">Satser!#REF!</definedName>
    <definedName name="Økologisk">Satser!#REF!</definedName>
  </definedNames>
  <calcPr calcId="191029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9" i="3" l="1"/>
  <c r="F44" i="2" l="1"/>
  <c r="F43" i="2"/>
  <c r="P53" i="3"/>
  <c r="E71" i="3" l="1"/>
  <c r="F51" i="2"/>
  <c r="M54" i="3"/>
  <c r="N62" i="3" s="1"/>
  <c r="N61" i="3"/>
  <c r="A7" i="2"/>
  <c r="G10" i="3"/>
  <c r="F58" i="2"/>
  <c r="E63" i="3"/>
  <c r="H63" i="3" s="1"/>
  <c r="E61" i="3"/>
  <c r="H61" i="3" s="1"/>
  <c r="F47" i="2"/>
  <c r="E45" i="3"/>
  <c r="E44" i="3"/>
  <c r="F20" i="2"/>
  <c r="F63" i="3" l="1"/>
  <c r="F61" i="3"/>
  <c r="N93" i="3" l="1"/>
  <c r="F39" i="2"/>
  <c r="F38" i="2"/>
  <c r="F37" i="2"/>
  <c r="F36" i="2"/>
  <c r="F12" i="2"/>
  <c r="F32" i="2"/>
  <c r="F8" i="2"/>
  <c r="B11" i="2"/>
  <c r="B9" i="2"/>
  <c r="M105" i="3"/>
  <c r="M106" i="3"/>
  <c r="M107" i="3"/>
  <c r="M104" i="3"/>
  <c r="F63" i="2"/>
  <c r="F62" i="2"/>
  <c r="E115" i="3"/>
  <c r="H115" i="3" s="1"/>
  <c r="E41" i="3"/>
  <c r="M93" i="3"/>
  <c r="C13" i="3"/>
  <c r="O93" i="3" l="1"/>
  <c r="N58" i="3" s="1"/>
  <c r="M110" i="3"/>
  <c r="F115" i="3"/>
  <c r="F59" i="2" l="1"/>
  <c r="F64" i="2" s="1"/>
  <c r="N106" i="3"/>
  <c r="N108" i="3" s="1"/>
  <c r="E60" i="2" s="1"/>
  <c r="F40" i="2"/>
  <c r="F31" i="2"/>
  <c r="F7" i="2"/>
  <c r="F19" i="2" l="1"/>
  <c r="F18" i="2" l="1"/>
  <c r="F34" i="2"/>
  <c r="F33" i="2"/>
  <c r="F16" i="2"/>
  <c r="F15" i="2"/>
  <c r="F14" i="2"/>
  <c r="F13" i="2"/>
  <c r="F10" i="2"/>
  <c r="F9" i="2"/>
  <c r="F41" i="2" l="1"/>
  <c r="N37" i="3" l="1"/>
  <c r="N36" i="3"/>
  <c r="N35" i="3"/>
  <c r="N34" i="3"/>
  <c r="N33" i="3"/>
  <c r="N32" i="3"/>
  <c r="M32" i="3"/>
  <c r="E46" i="3"/>
  <c r="H45" i="3"/>
  <c r="O32" i="3" l="1"/>
  <c r="F45" i="3"/>
  <c r="F73" i="3" l="1"/>
  <c r="H73" i="3" l="1"/>
  <c r="H38" i="3" l="1"/>
  <c r="M33" i="3"/>
  <c r="M34" i="3"/>
  <c r="M35" i="3"/>
  <c r="M36" i="3"/>
  <c r="M37" i="3"/>
  <c r="N31" i="3"/>
  <c r="F38" i="3" l="1"/>
  <c r="O35" i="3"/>
  <c r="O36" i="3"/>
  <c r="O37" i="3"/>
  <c r="O33" i="3"/>
  <c r="O34" i="3"/>
  <c r="F17" i="2" l="1"/>
  <c r="E130" i="3" l="1"/>
  <c r="E112" i="3"/>
  <c r="E109" i="3"/>
  <c r="E106" i="3"/>
  <c r="E68" i="3"/>
  <c r="F68" i="3" s="1"/>
  <c r="E32" i="3"/>
  <c r="F32" i="3" s="1"/>
  <c r="E31" i="3"/>
  <c r="H31" i="3" s="1"/>
  <c r="E33" i="3"/>
  <c r="H33" i="3" s="1"/>
  <c r="A9" i="2"/>
  <c r="H68" i="3" l="1"/>
  <c r="H32" i="3"/>
  <c r="F31" i="3"/>
  <c r="F33" i="3"/>
  <c r="N50" i="3"/>
  <c r="E69" i="3" l="1"/>
  <c r="N43" i="3"/>
  <c r="F50" i="2" s="1"/>
  <c r="M31" i="3" l="1"/>
  <c r="M38" i="3" s="1"/>
  <c r="D14" i="3"/>
  <c r="O31" i="3" l="1"/>
  <c r="O38" i="3" s="1"/>
  <c r="N60" i="3" s="1"/>
  <c r="N63" i="3" s="1"/>
  <c r="F42" i="2" s="1"/>
  <c r="D13" i="3"/>
  <c r="F75" i="3" l="1"/>
  <c r="F74" i="3"/>
  <c r="F72" i="3"/>
  <c r="H71" i="3"/>
  <c r="F54" i="3"/>
  <c r="F70" i="3"/>
  <c r="H70" i="3"/>
  <c r="F69" i="3"/>
  <c r="H69" i="3"/>
  <c r="E188" i="3"/>
  <c r="H188" i="3" s="1"/>
  <c r="E189" i="3"/>
  <c r="H189" i="3" s="1"/>
  <c r="E190" i="3"/>
  <c r="H190" i="3" s="1"/>
  <c r="E191" i="3"/>
  <c r="H191" i="3" s="1"/>
  <c r="E192" i="3"/>
  <c r="H192" i="3" s="1"/>
  <c r="E193" i="3"/>
  <c r="H193" i="3" s="1"/>
  <c r="E194" i="3"/>
  <c r="H194" i="3" s="1"/>
  <c r="E195" i="3"/>
  <c r="E196" i="3"/>
  <c r="E197" i="3"/>
  <c r="H197" i="3" s="1"/>
  <c r="E187" i="3"/>
  <c r="H187" i="3" s="1"/>
  <c r="H198" i="3" l="1"/>
  <c r="J187" i="3" s="1"/>
  <c r="H75" i="3"/>
  <c r="H74" i="3"/>
  <c r="H72" i="3"/>
  <c r="F71" i="3"/>
  <c r="F48" i="2" l="1"/>
  <c r="C86" i="3"/>
  <c r="D86" i="3"/>
  <c r="E86" i="3" l="1"/>
  <c r="E49" i="3"/>
  <c r="E48" i="3"/>
  <c r="E40" i="3"/>
  <c r="E37" i="3"/>
  <c r="E34" i="3"/>
  <c r="E30" i="3"/>
  <c r="E28" i="3"/>
  <c r="E29" i="3"/>
  <c r="J16" i="3"/>
  <c r="J10" i="3"/>
  <c r="E10" i="3"/>
  <c r="F10" i="3"/>
  <c r="H10" i="3"/>
  <c r="I10" i="3"/>
  <c r="D10" i="3"/>
  <c r="D19" i="3"/>
  <c r="C19" i="3"/>
  <c r="C18" i="3"/>
  <c r="C16" i="3"/>
  <c r="C15" i="3"/>
  <c r="C17" i="3"/>
  <c r="E13" i="3" l="1"/>
  <c r="D18" i="3" l="1"/>
  <c r="D17" i="3"/>
  <c r="E17" i="3" s="1"/>
  <c r="D16" i="3"/>
  <c r="D15" i="3"/>
  <c r="E103" i="3" l="1"/>
  <c r="E101" i="3"/>
  <c r="E98" i="3"/>
  <c r="E95" i="3"/>
  <c r="E92" i="3"/>
  <c r="H128" i="2" l="1"/>
  <c r="K16" i="3"/>
  <c r="L16" i="3"/>
  <c r="M16" i="3"/>
  <c r="N16" i="3"/>
  <c r="L18" i="3" s="1"/>
  <c r="O16" i="3"/>
  <c r="M6" i="3" s="1"/>
  <c r="P16" i="3"/>
  <c r="E206" i="3" l="1"/>
  <c r="D206" i="3"/>
  <c r="D207" i="3"/>
  <c r="H34" i="3" l="1"/>
  <c r="I222" i="3"/>
  <c r="E203" i="3"/>
  <c r="D204" i="3"/>
  <c r="F34" i="3" l="1"/>
  <c r="E210" i="3" l="1"/>
  <c r="D203" i="3"/>
  <c r="M2" i="3"/>
  <c r="M3" i="3"/>
  <c r="M5" i="3" s="1"/>
  <c r="F28" i="3"/>
  <c r="J28" i="3"/>
  <c r="H29" i="3"/>
  <c r="J29" i="3"/>
  <c r="F30" i="3"/>
  <c r="J34" i="3"/>
  <c r="H37" i="3"/>
  <c r="H40" i="3"/>
  <c r="H41" i="3"/>
  <c r="J232" i="3"/>
  <c r="K232" i="3" s="1"/>
  <c r="K233" i="3"/>
  <c r="L233" i="3"/>
  <c r="H44" i="3"/>
  <c r="H46" i="3"/>
  <c r="H48" i="3"/>
  <c r="F49" i="3"/>
  <c r="H52" i="3"/>
  <c r="H57" i="3"/>
  <c r="F58" i="3"/>
  <c r="H58" i="3"/>
  <c r="C157" i="3"/>
  <c r="C159" i="3" s="1"/>
  <c r="C161" i="3" s="1"/>
  <c r="C158" i="3"/>
  <c r="C163" i="3" s="1"/>
  <c r="F112" i="3"/>
  <c r="H130" i="3"/>
  <c r="F210" i="3"/>
  <c r="H210" i="3"/>
  <c r="E211" i="3"/>
  <c r="F211" i="3"/>
  <c r="H211" i="3"/>
  <c r="C246" i="3"/>
  <c r="C248" i="3" s="1"/>
  <c r="H5" i="2"/>
  <c r="H131" i="2"/>
  <c r="H130" i="2"/>
  <c r="H132" i="2"/>
  <c r="H12" i="2"/>
  <c r="H13" i="2"/>
  <c r="H17" i="2"/>
  <c r="H18" i="2"/>
  <c r="H23" i="2"/>
  <c r="H25" i="2"/>
  <c r="H35" i="2"/>
  <c r="D22" i="1"/>
  <c r="I22" i="1"/>
  <c r="D23" i="1"/>
  <c r="I23" i="1"/>
  <c r="C24" i="1"/>
  <c r="D24" i="1"/>
  <c r="C25" i="1"/>
  <c r="D25" i="1"/>
  <c r="C26" i="1"/>
  <c r="D26" i="1"/>
  <c r="C27" i="1"/>
  <c r="D27" i="1"/>
  <c r="C28" i="1"/>
  <c r="D28" i="1"/>
  <c r="D29" i="1"/>
  <c r="C30" i="1"/>
  <c r="C32" i="1" s="1"/>
  <c r="D30" i="1"/>
  <c r="C31" i="1"/>
  <c r="D31" i="1"/>
  <c r="D32" i="1"/>
  <c r="C33" i="1"/>
  <c r="D33" i="1"/>
  <c r="C34" i="1"/>
  <c r="C35" i="1" s="1"/>
  <c r="D34" i="1"/>
  <c r="D35" i="1"/>
  <c r="C36" i="1"/>
  <c r="D36" i="1"/>
  <c r="C43" i="1"/>
  <c r="E89" i="1" s="1"/>
  <c r="C44" i="1"/>
  <c r="E90" i="1" s="1"/>
  <c r="C45" i="1"/>
  <c r="E45" i="1" s="1"/>
  <c r="C48" i="1"/>
  <c r="E94" i="1" s="1"/>
  <c r="C49" i="1"/>
  <c r="E49" i="1" s="1"/>
  <c r="C52" i="1"/>
  <c r="E52" i="1" s="1"/>
  <c r="F54" i="1" s="1"/>
  <c r="C53" i="1"/>
  <c r="E99" i="1" s="1"/>
  <c r="C56" i="1"/>
  <c r="E56" i="1" s="1"/>
  <c r="F60" i="1" s="1"/>
  <c r="C57" i="1"/>
  <c r="E57" i="1" s="1"/>
  <c r="C58" i="1"/>
  <c r="E58" i="1" s="1"/>
  <c r="C59" i="1"/>
  <c r="E59" i="1" s="1"/>
  <c r="C62" i="1"/>
  <c r="E62" i="1" s="1"/>
  <c r="F63" i="1" s="1"/>
  <c r="C69" i="1"/>
  <c r="E69" i="1" s="1"/>
  <c r="F72" i="1" s="1"/>
  <c r="C70" i="1"/>
  <c r="E116" i="1" s="1"/>
  <c r="C71" i="1"/>
  <c r="E117" i="1" s="1"/>
  <c r="C74" i="1"/>
  <c r="E74" i="1" s="1"/>
  <c r="F78" i="1" s="1"/>
  <c r="C75" i="1"/>
  <c r="E121" i="1" s="1"/>
  <c r="C76" i="1"/>
  <c r="E76" i="1" s="1"/>
  <c r="C77" i="1"/>
  <c r="E77" i="1" s="1"/>
  <c r="F79" i="1"/>
  <c r="D89" i="1"/>
  <c r="D90" i="1"/>
  <c r="D91" i="1"/>
  <c r="D94" i="1"/>
  <c r="D95" i="1"/>
  <c r="D98" i="1"/>
  <c r="D99" i="1"/>
  <c r="D102" i="1"/>
  <c r="E102" i="1"/>
  <c r="D103" i="1"/>
  <c r="E103" i="1"/>
  <c r="E104" i="1"/>
  <c r="G104" i="1" s="1"/>
  <c r="E105" i="1"/>
  <c r="G105" i="1" s="1"/>
  <c r="D109" i="1"/>
  <c r="D110" i="1"/>
  <c r="D111" i="1"/>
  <c r="E111" i="1"/>
  <c r="D112" i="1"/>
  <c r="D115" i="1"/>
  <c r="D116" i="1"/>
  <c r="D117" i="1"/>
  <c r="D120" i="1"/>
  <c r="D121" i="1"/>
  <c r="D122" i="1"/>
  <c r="D126" i="1"/>
  <c r="E126" i="1"/>
  <c r="D127" i="1"/>
  <c r="G127" i="1" s="1"/>
  <c r="F127" i="1"/>
  <c r="D128" i="1"/>
  <c r="G128" i="1" s="1"/>
  <c r="F128" i="1"/>
  <c r="D131" i="1"/>
  <c r="E131" i="1"/>
  <c r="F131" i="1" s="1"/>
  <c r="D132" i="1"/>
  <c r="E132" i="1"/>
  <c r="F132" i="1" s="1"/>
  <c r="D133" i="1"/>
  <c r="E133" i="1"/>
  <c r="F133" i="1" s="1"/>
  <c r="D134" i="1"/>
  <c r="G134" i="1" s="1"/>
  <c r="F134" i="1"/>
  <c r="D135" i="1"/>
  <c r="G135" i="1" s="1"/>
  <c r="F135" i="1"/>
  <c r="D138" i="1"/>
  <c r="G138" i="1" s="1"/>
  <c r="F138" i="1"/>
  <c r="D153" i="1"/>
  <c r="C245" i="1" s="1"/>
  <c r="D154" i="1"/>
  <c r="D157" i="1"/>
  <c r="C250" i="1" s="1"/>
  <c r="D160" i="1"/>
  <c r="D161" i="1"/>
  <c r="C255" i="1" s="1"/>
  <c r="D164" i="1"/>
  <c r="C258" i="1" s="1"/>
  <c r="D167" i="1"/>
  <c r="C262" i="1" s="1"/>
  <c r="D170" i="1"/>
  <c r="C266" i="1" s="1"/>
  <c r="D173" i="1"/>
  <c r="C271" i="1" s="1"/>
  <c r="D176" i="1"/>
  <c r="D179" i="1"/>
  <c r="D182" i="1"/>
  <c r="D185" i="1"/>
  <c r="D188" i="1"/>
  <c r="D191" i="1"/>
  <c r="C279" i="1" s="1"/>
  <c r="D194" i="1"/>
  <c r="D197" i="1"/>
  <c r="C216" i="1"/>
  <c r="C217" i="1"/>
  <c r="C218" i="1"/>
  <c r="C219" i="1" s="1"/>
  <c r="C221" i="1" s="1"/>
  <c r="C223" i="1" s="1"/>
  <c r="C220" i="1"/>
  <c r="C222" i="1"/>
  <c r="B245" i="1"/>
  <c r="B246" i="1"/>
  <c r="C246" i="1"/>
  <c r="B250" i="1"/>
  <c r="E157" i="1" s="1"/>
  <c r="B254" i="1"/>
  <c r="E160" i="1" s="1"/>
  <c r="C254" i="1"/>
  <c r="B255" i="1"/>
  <c r="E161" i="1" s="1"/>
  <c r="B258" i="1"/>
  <c r="B262" i="1"/>
  <c r="E167" i="1" s="1"/>
  <c r="B266" i="1"/>
  <c r="B271" i="1"/>
  <c r="E173" i="1" s="1"/>
  <c r="B275" i="1"/>
  <c r="E176" i="1" s="1"/>
  <c r="C275" i="1"/>
  <c r="B279" i="1"/>
  <c r="E191" i="1" s="1"/>
  <c r="E287" i="1"/>
  <c r="G287" i="1" s="1"/>
  <c r="G295" i="1" s="1"/>
  <c r="E288" i="1"/>
  <c r="G288" i="1" s="1"/>
  <c r="E289" i="1"/>
  <c r="G289" i="1" s="1"/>
  <c r="E290" i="1"/>
  <c r="G290" i="1" s="1"/>
  <c r="E291" i="1"/>
  <c r="G291" i="1" s="1"/>
  <c r="F291" i="1"/>
  <c r="H291" i="1" s="1"/>
  <c r="H295" i="1" s="1"/>
  <c r="E292" i="1"/>
  <c r="G292" i="1"/>
  <c r="F292" i="1"/>
  <c r="H292" i="1" s="1"/>
  <c r="E293" i="1"/>
  <c r="G293" i="1" s="1"/>
  <c r="E294" i="1"/>
  <c r="G294" i="1" s="1"/>
  <c r="E110" i="1"/>
  <c r="F110" i="1" s="1"/>
  <c r="F126" i="1"/>
  <c r="G102" i="1" l="1"/>
  <c r="F104" i="1"/>
  <c r="H296" i="1"/>
  <c r="C14" i="3"/>
  <c r="E14" i="3" s="1"/>
  <c r="E91" i="1"/>
  <c r="F91" i="1" s="1"/>
  <c r="G126" i="1"/>
  <c r="G91" i="1"/>
  <c r="D245" i="1"/>
  <c r="E246" i="1" s="1"/>
  <c r="E282" i="1" s="1"/>
  <c r="D210" i="1" s="1"/>
  <c r="G131" i="1"/>
  <c r="G111" i="1"/>
  <c r="F105" i="1"/>
  <c r="E53" i="1"/>
  <c r="M7" i="3"/>
  <c r="H115" i="2"/>
  <c r="E35" i="1"/>
  <c r="G117" i="1"/>
  <c r="F117" i="1"/>
  <c r="E122" i="1"/>
  <c r="F122" i="1" s="1"/>
  <c r="G103" i="1"/>
  <c r="E71" i="1"/>
  <c r="E27" i="1"/>
  <c r="H19" i="2"/>
  <c r="G133" i="1"/>
  <c r="E34" i="1"/>
  <c r="E32" i="1"/>
  <c r="F40" i="3"/>
  <c r="D266" i="1"/>
  <c r="E267" i="1" s="1"/>
  <c r="D258" i="1"/>
  <c r="E259" i="1" s="1"/>
  <c r="D246" i="1"/>
  <c r="E36" i="1"/>
  <c r="E31" i="1"/>
  <c r="F57" i="3"/>
  <c r="F103" i="3"/>
  <c r="H103" i="3"/>
  <c r="G157" i="1"/>
  <c r="F157" i="1"/>
  <c r="G110" i="1"/>
  <c r="E98" i="1"/>
  <c r="D271" i="1"/>
  <c r="E272" i="1" s="1"/>
  <c r="E95" i="1"/>
  <c r="E33" i="1"/>
  <c r="E25" i="1"/>
  <c r="D279" i="1"/>
  <c r="E280" i="1" s="1"/>
  <c r="D210" i="3"/>
  <c r="I210" i="3" s="1"/>
  <c r="F130" i="3"/>
  <c r="E109" i="1"/>
  <c r="E70" i="1"/>
  <c r="D250" i="1"/>
  <c r="E251" i="1" s="1"/>
  <c r="F111" i="1"/>
  <c r="G132" i="1"/>
  <c r="E30" i="1"/>
  <c r="C29" i="1"/>
  <c r="E29" i="1" s="1"/>
  <c r="E26" i="1"/>
  <c r="E24" i="1"/>
  <c r="D211" i="3"/>
  <c r="I211" i="3" s="1"/>
  <c r="D255" i="1"/>
  <c r="C22" i="1"/>
  <c r="C23" i="1" s="1"/>
  <c r="E23" i="1" s="1"/>
  <c r="E18" i="3"/>
  <c r="F41" i="3"/>
  <c r="F37" i="3"/>
  <c r="L232" i="3"/>
  <c r="E16" i="3"/>
  <c r="E15" i="3"/>
  <c r="F44" i="3"/>
  <c r="F52" i="3"/>
  <c r="J49" i="3"/>
  <c r="H49" i="3"/>
  <c r="H30" i="3"/>
  <c r="F95" i="3"/>
  <c r="H95" i="3"/>
  <c r="F106" i="3"/>
  <c r="H106" i="3"/>
  <c r="H98" i="3"/>
  <c r="F98" i="3"/>
  <c r="H54" i="3"/>
  <c r="F48" i="3"/>
  <c r="H112" i="3"/>
  <c r="E19" i="3"/>
  <c r="J48" i="3"/>
  <c r="F29" i="3"/>
  <c r="F46" i="3"/>
  <c r="H28" i="3"/>
  <c r="F160" i="1"/>
  <c r="G160" i="1"/>
  <c r="F90" i="1"/>
  <c r="G90" i="1"/>
  <c r="G176" i="1"/>
  <c r="F176" i="1"/>
  <c r="F173" i="1"/>
  <c r="G173" i="1"/>
  <c r="F167" i="1"/>
  <c r="G167" i="1"/>
  <c r="G161" i="1"/>
  <c r="F161" i="1"/>
  <c r="G99" i="1"/>
  <c r="F99" i="1"/>
  <c r="G94" i="1"/>
  <c r="F94" i="1"/>
  <c r="F191" i="1"/>
  <c r="G191" i="1"/>
  <c r="G121" i="1"/>
  <c r="F121" i="1"/>
  <c r="F116" i="1"/>
  <c r="G116" i="1"/>
  <c r="F89" i="1"/>
  <c r="F139" i="1" s="1"/>
  <c r="G89" i="1"/>
  <c r="G139" i="1" s="1"/>
  <c r="E170" i="1"/>
  <c r="E164" i="1"/>
  <c r="E154" i="1"/>
  <c r="E75" i="1"/>
  <c r="E48" i="1"/>
  <c r="F50" i="1" s="1"/>
  <c r="E44" i="1"/>
  <c r="D262" i="1"/>
  <c r="E263" i="1" s="1"/>
  <c r="E153" i="1"/>
  <c r="E120" i="1"/>
  <c r="F103" i="1"/>
  <c r="F102" i="1"/>
  <c r="E112" i="1"/>
  <c r="E43" i="1"/>
  <c r="F46" i="1" s="1"/>
  <c r="E28" i="1"/>
  <c r="D254" i="1"/>
  <c r="E256" i="1" s="1"/>
  <c r="D275" i="1"/>
  <c r="E276" i="1" s="1"/>
  <c r="E115" i="1"/>
  <c r="G122" i="1" l="1"/>
  <c r="E20" i="3"/>
  <c r="F45" i="2" s="1"/>
  <c r="F53" i="2" s="1"/>
  <c r="H76" i="3"/>
  <c r="I199" i="3"/>
  <c r="H36" i="2"/>
  <c r="F76" i="3"/>
  <c r="E22" i="1"/>
  <c r="E37" i="1" s="1"/>
  <c r="H33" i="2" s="1"/>
  <c r="G95" i="1"/>
  <c r="F95" i="1"/>
  <c r="G109" i="1"/>
  <c r="F109" i="1"/>
  <c r="G98" i="1"/>
  <c r="F98" i="1"/>
  <c r="D212" i="3"/>
  <c r="E212" i="3"/>
  <c r="F212" i="3"/>
  <c r="H212" i="3"/>
  <c r="H92" i="3"/>
  <c r="F92" i="3"/>
  <c r="F101" i="3"/>
  <c r="H101" i="3"/>
  <c r="F109" i="3"/>
  <c r="H109" i="3"/>
  <c r="G153" i="1"/>
  <c r="G199" i="1" s="1"/>
  <c r="F153" i="1"/>
  <c r="F199" i="1" s="1"/>
  <c r="F112" i="1"/>
  <c r="G112" i="1"/>
  <c r="G170" i="1"/>
  <c r="F170" i="1"/>
  <c r="F115" i="1"/>
  <c r="G115" i="1"/>
  <c r="F83" i="1"/>
  <c r="D149" i="1" s="1"/>
  <c r="F65" i="1"/>
  <c r="G120" i="1"/>
  <c r="F120" i="1"/>
  <c r="G164" i="1"/>
  <c r="F164" i="1"/>
  <c r="I145" i="1"/>
  <c r="C146" i="1"/>
  <c r="C145" i="1"/>
  <c r="C144" i="1"/>
  <c r="I146" i="1"/>
  <c r="C143" i="1"/>
  <c r="C147" i="1" s="1"/>
  <c r="I144" i="1"/>
  <c r="I143" i="1"/>
  <c r="I147" i="1" s="1"/>
  <c r="G154" i="1"/>
  <c r="F154" i="1"/>
  <c r="C80" i="3" l="1"/>
  <c r="F78" i="3"/>
  <c r="C83" i="3"/>
  <c r="C82" i="3"/>
  <c r="C81" i="3"/>
  <c r="H78" i="3"/>
  <c r="F138" i="3"/>
  <c r="J82" i="3"/>
  <c r="I212" i="3"/>
  <c r="I213" i="3" s="1"/>
  <c r="I221" i="3" s="1"/>
  <c r="H138" i="3"/>
  <c r="C203" i="1"/>
  <c r="C207" i="1" s="1"/>
  <c r="H34" i="2" s="1"/>
  <c r="C206" i="1"/>
  <c r="C205" i="1"/>
  <c r="C204" i="1"/>
  <c r="G34" i="2" s="1"/>
  <c r="E19" i="2" l="1"/>
  <c r="C145" i="3"/>
  <c r="C144" i="3"/>
  <c r="C143" i="3"/>
  <c r="C84" i="3"/>
  <c r="D88" i="3"/>
  <c r="C142" i="3"/>
  <c r="C166" i="3"/>
  <c r="F46" i="2" l="1"/>
  <c r="C146" i="3"/>
  <c r="C165" i="3"/>
  <c r="C164" i="3"/>
  <c r="C167" i="3"/>
  <c r="C168" i="3"/>
  <c r="F49" i="2" l="1"/>
  <c r="F54" i="2" s="1"/>
  <c r="F65" i="2" s="1"/>
  <c r="J81" i="3"/>
  <c r="J83" i="3"/>
  <c r="J80" i="3"/>
  <c r="F66" i="2" l="1"/>
  <c r="F67" i="2" s="1"/>
  <c r="F68" i="2" s="1"/>
  <c r="J84" i="3"/>
  <c r="F21" i="2"/>
  <c r="F22" i="2" s="1"/>
  <c r="F23" i="2" l="1"/>
  <c r="F24" i="2" s="1"/>
  <c r="F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Hanne Margrete Johnsen</author>
    <author>BrukerBondelaget</author>
  </authors>
  <commentList>
    <comment ref="E5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Inneholder også Jæren og har derfor ikkje lagt inn endring på Jæren-linja. I år er det foreslåtte kuttet like stort, men er sikkert OK å skrive dette riktig når me får tid.
</t>
        </r>
      </text>
    </comment>
    <comment ref="E5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Hanne Margrete Johnsen:
Inneholder også Jæren og har derfor ikkje lagt inn endring på Jæren-linja. I år er det foreslåtte kuttet like stort, men er sikkert OK å skrive dette riktig når me får tid.</t>
        </r>
      </text>
    </comment>
    <comment ref="E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Lagt inn -1000, for å fjerne tilskudd på første 1000 som blir gitt regionalt
</t>
        </r>
      </text>
    </comment>
    <comment ref="F206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  <comment ref="J233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</commentList>
</comments>
</file>

<file path=xl/sharedStrings.xml><?xml version="1.0" encoding="utf-8"?>
<sst xmlns="http://schemas.openxmlformats.org/spreadsheetml/2006/main" count="880" uniqueCount="383">
  <si>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</si>
  <si>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</si>
  <si>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</si>
  <si>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</si>
  <si>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</si>
  <si>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</si>
  <si>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</si>
  <si>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</si>
  <si>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</si>
  <si>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</si>
  <si>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</si>
  <si>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</si>
  <si>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</si>
  <si>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</si>
  <si>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</si>
  <si>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</si>
  <si>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</si>
  <si>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</si>
  <si>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</si>
  <si>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</si>
  <si>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</si>
  <si>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</si>
  <si>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</si>
  <si>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</si>
  <si>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</si>
  <si>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</si>
  <si>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</si>
  <si>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</si>
  <si>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</si>
  <si>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</si>
  <si>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</si>
  <si>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</si>
  <si>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</si>
  <si>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</si>
  <si>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</si>
  <si>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</si>
  <si>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</si>
  <si>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</si>
  <si>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</si>
  <si>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</si>
  <si>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</si>
  <si>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</si>
  <si>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</si>
  <si>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</si>
  <si>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</si>
  <si>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</si>
  <si>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</si>
  <si>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</si>
  <si>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</si>
  <si>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</si>
  <si>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</si>
  <si>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</si>
  <si>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</si>
  <si>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</si>
  <si>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</si>
  <si>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</si>
  <si>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</si>
  <si>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</si>
  <si>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</si>
  <si>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</si>
  <si>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</si>
  <si>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</si>
  <si>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</si>
  <si>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</si>
  <si>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</si>
  <si>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</si>
  <si>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</si>
  <si>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</si>
  <si>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</si>
  <si>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</si>
  <si>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</si>
  <si>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</si>
  <si>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</si>
  <si>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</si>
  <si>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</si>
  <si>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</si>
  <si>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</si>
  <si>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</si>
  <si>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</si>
  <si>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</si>
  <si>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</si>
  <si>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</si>
  <si>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</si>
  <si>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</si>
  <si>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</si>
  <si>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</si>
  <si>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</si>
  <si>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</si>
  <si>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</si>
  <si>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</si>
  <si>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</si>
  <si>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</si>
  <si>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</si>
  <si>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</si>
  <si>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</si>
  <si>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</si>
  <si>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</si>
  <si>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</si>
  <si>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</si>
  <si>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</si>
  <si>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</si>
  <si>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</si>
  <si>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</si>
  <si>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</si>
  <si>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</si>
  <si>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</si>
  <si>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</si>
  <si>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</si>
  <si>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</si>
  <si>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</si>
  <si>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</si>
  <si>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</si>
  <si>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</si>
  <si>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</si>
  <si>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</si>
  <si>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</si>
  <si>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</si>
  <si>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</si>
  <si>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</si>
  <si>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</si>
  <si>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</si>
  <si>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</si>
  <si>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</si>
  <si>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</si>
  <si>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</si>
  <si>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</si>
  <si>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</si>
  <si>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</si>
  <si>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</si>
  <si>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</si>
  <si>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</si>
  <si>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</si>
  <si>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</si>
  <si>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</si>
  <si>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</si>
  <si>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</si>
  <si>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</si>
  <si>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</si>
  <si>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</si>
  <si>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</si>
  <si>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</si>
  <si>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</si>
  <si>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</si>
  <si>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</si>
  <si>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</si>
  <si>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</si>
  <si>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</si>
  <si>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</si>
  <si>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</si>
  <si>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</si>
  <si>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</si>
  <si>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</si>
  <si>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</si>
  <si>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</si>
  <si>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</si>
  <si>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</si>
  <si>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</si>
  <si>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</si>
  <si>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</si>
  <si>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</si>
  <si>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</si>
  <si>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</si>
  <si>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</si>
  <si>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</si>
  <si>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</si>
  <si>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</si>
  <si>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</si>
  <si>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</si>
  <si>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</si>
  <si>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</si>
  <si>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</si>
  <si>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</si>
  <si>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</si>
  <si>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</si>
  <si>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</si>
  <si>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</si>
  <si>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</si>
  <si>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</si>
  <si>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</si>
  <si>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</si>
  <si>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</si>
  <si>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</si>
  <si>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</si>
  <si>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</si>
  <si>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</si>
  <si>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</si>
  <si>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</si>
  <si>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</si>
  <si>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</si>
  <si>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</si>
  <si>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</si>
  <si>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</si>
  <si>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</si>
  <si>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Målpriser</t>
  </si>
  <si>
    <t>Kr/bruk</t>
  </si>
  <si>
    <t>Grunntilskudd geitmelk</t>
  </si>
  <si>
    <t>pr dyr</t>
  </si>
  <si>
    <t>2 medl</t>
  </si>
  <si>
    <t>Melk (ku og geit)</t>
  </si>
  <si>
    <t>Er areal/dyr lagt om til økologisk drift?</t>
  </si>
  <si>
    <t>Kr</t>
  </si>
  <si>
    <t>Fjørfekjøtt</t>
  </si>
  <si>
    <t xml:space="preserve">NB! NB! DETTE UTSLAGET ER IKKE DET SAMME SOM ØKT INNTEKT !!! </t>
  </si>
  <si>
    <t>SUM Kostnadsvekst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</si>
  <si>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</si>
  <si>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</si>
  <si>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</si>
  <si>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Hjort</t>
  </si>
  <si>
    <t>Sau/lam forventet prisvekst</t>
  </si>
  <si>
    <t>Egg forventet prisvekst</t>
  </si>
  <si>
    <t>51+</t>
  </si>
  <si>
    <t>250+</t>
  </si>
  <si>
    <t>Nei</t>
  </si>
  <si>
    <t>Utegangersau</t>
  </si>
  <si>
    <t>Kraftfôrkostnader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</si>
  <si>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</si>
  <si>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</si>
  <si>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</si>
  <si>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</si>
  <si>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</si>
  <si>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</si>
  <si>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>Avløsertilskudd</t>
  </si>
  <si>
    <t xml:space="preserve"> dyr</t>
  </si>
  <si>
    <t xml:space="preserve"> * </t>
  </si>
  <si>
    <t>Kraftfôrmengde</t>
  </si>
  <si>
    <t>Andre driftskostnader</t>
  </si>
  <si>
    <t>Alle dekar</t>
  </si>
  <si>
    <t xml:space="preserve">Frukt </t>
  </si>
  <si>
    <t>50+</t>
  </si>
  <si>
    <t xml:space="preserve"> 1-50</t>
  </si>
  <si>
    <t>1-35 dyr, Jæren</t>
  </si>
  <si>
    <t>1-1400 dyr Jæren</t>
  </si>
  <si>
    <t>Bevaringsverdige raser</t>
  </si>
  <si>
    <t>gml.tilsk under, nye tilsk under</t>
  </si>
  <si>
    <t>Ny sats</t>
  </si>
  <si>
    <t>Ku, Jæren</t>
  </si>
  <si>
    <t>Er det økologisk drift?</t>
  </si>
  <si>
    <t>Endring sats</t>
  </si>
  <si>
    <t>Bikuber</t>
  </si>
  <si>
    <t>Kyr, storfe, hest på utmarksbeite</t>
  </si>
  <si>
    <t>Sau, lam, geit på utmarksbeite</t>
  </si>
  <si>
    <t xml:space="preserve"> - Storfe</t>
  </si>
  <si>
    <t>Matkorn (hvete)</t>
  </si>
  <si>
    <t>Matkorn (rug)</t>
  </si>
  <si>
    <t>Bygg</t>
  </si>
  <si>
    <t>Distriktstilskudd frukt, bær og grønnsaker</t>
  </si>
  <si>
    <t>Omsatt mengde bær</t>
  </si>
  <si>
    <t>Frukt og grønt</t>
  </si>
  <si>
    <t>Utslag for ditt bruk:</t>
  </si>
  <si>
    <t>Fjørfe forventet prisvekst</t>
  </si>
  <si>
    <t>Bevaringsverdige husdyrraser:</t>
  </si>
  <si>
    <t xml:space="preserve">Distriktstilskudd melk </t>
  </si>
  <si>
    <t>Driftstilskudd melk</t>
  </si>
  <si>
    <t>Antall</t>
  </si>
  <si>
    <t>Kyr, storfe, hest på beite (Minst16/12 uker)</t>
  </si>
  <si>
    <t>Sau, lam, geit på beite (Minst 16/12 uker)</t>
  </si>
  <si>
    <t>Beitetilskudd/Utmarksbeitetilskudd</t>
  </si>
  <si>
    <t>Driftstilskudd ammeku</t>
  </si>
  <si>
    <t>2) Følgende større elementer er ikke tatt med i utslagsberegningene:</t>
  </si>
  <si>
    <t>1-14 dyr</t>
  </si>
  <si>
    <t>15-30 dyr</t>
  </si>
  <si>
    <t>31-50 dyr</t>
  </si>
  <si>
    <t>Bunnfradrag</t>
  </si>
  <si>
    <t>Rentekostnader</t>
  </si>
  <si>
    <t>Bruttoinntekter av frukt og grønt</t>
  </si>
  <si>
    <t>Matkorn, hvete og rug</t>
  </si>
  <si>
    <t>Eple,pære,plomme</t>
  </si>
  <si>
    <t>Moreller</t>
  </si>
  <si>
    <t>Omsatt mengde epler, pærer, plommer, kirsebær kl1</t>
  </si>
  <si>
    <t>Omsatt mengde moreller</t>
  </si>
  <si>
    <t>Tomat</t>
  </si>
  <si>
    <t>Slangeagurk</t>
  </si>
  <si>
    <t>Salat</t>
  </si>
  <si>
    <t>Omsatt mengde tomat</t>
  </si>
  <si>
    <t>Omsatt mengde slangeagurk</t>
  </si>
  <si>
    <t>Omsatt mengde salat</t>
  </si>
  <si>
    <t>Tilskudd små og mellomstore melkebruk</t>
  </si>
  <si>
    <t>Kastrat</t>
  </si>
  <si>
    <t>Spælsau</t>
  </si>
  <si>
    <t>Gjeld (næring)</t>
  </si>
  <si>
    <t>Årlig arbeidsforbruk på gårdsbruket</t>
  </si>
  <si>
    <t>timer/år</t>
  </si>
  <si>
    <r>
      <t xml:space="preserve">Kostnader  </t>
    </r>
    <r>
      <rPr>
        <b/>
        <sz val="11"/>
        <color rgb="FFFF0000"/>
        <rFont val="Arial"/>
        <family val="2"/>
      </rPr>
      <t>(NB MÅ LEGGES INN)</t>
    </r>
  </si>
  <si>
    <r>
      <t>(NB! Denne</t>
    </r>
    <r>
      <rPr>
        <b/>
        <u/>
        <sz val="11"/>
        <color rgb="FFFF0000"/>
        <rFont val="Arial"/>
        <family val="2"/>
      </rPr>
      <t xml:space="preserve"> må</t>
    </r>
    <r>
      <rPr>
        <b/>
        <sz val="11"/>
        <color rgb="FFFF0000"/>
        <rFont val="Arial"/>
        <family val="2"/>
      </rPr>
      <t xml:space="preserve"> fylles ut!!!)</t>
    </r>
  </si>
  <si>
    <t>Utslag omregnet i kroner pr time</t>
  </si>
  <si>
    <t>151+</t>
  </si>
  <si>
    <t>Omsatt mengde pressfrukt</t>
  </si>
  <si>
    <t>Pressfrukt</t>
  </si>
  <si>
    <t>Utslag i 2022</t>
  </si>
  <si>
    <t>Gris, forventet prisvekst</t>
  </si>
  <si>
    <t>3,3%</t>
  </si>
  <si>
    <t>11,8%</t>
  </si>
  <si>
    <t>Kompensasjon</t>
  </si>
  <si>
    <t>Distrikt frukt bær</t>
  </si>
  <si>
    <t>Agurk</t>
  </si>
  <si>
    <t>Rugeegg</t>
  </si>
  <si>
    <t>Kalkun</t>
  </si>
  <si>
    <t>Bifolk</t>
  </si>
  <si>
    <t>Inntektsutslag av Jordbruksavtalen 2022-2023</t>
  </si>
  <si>
    <t>Inntekt og kompensasjon i 2022</t>
  </si>
  <si>
    <t>Rugegg</t>
  </si>
  <si>
    <t>egg</t>
  </si>
  <si>
    <t>Kalkun, gjess, ender</t>
  </si>
  <si>
    <t>slakt</t>
  </si>
  <si>
    <t>Sau født foregående år, ammegeit</t>
  </si>
  <si>
    <t>Arealtilskudd</t>
  </si>
  <si>
    <r>
      <t>SUM KOMPENSASJON OG MERINNTEKT 2022</t>
    </r>
    <r>
      <rPr>
        <b/>
        <sz val="11"/>
        <color indexed="10"/>
        <rFont val="Arial"/>
        <family val="2"/>
      </rPr>
      <t xml:space="preserve"> 2)</t>
    </r>
  </si>
  <si>
    <t>Økt inntektseffekt av jordbruksfradraget</t>
  </si>
  <si>
    <t>Hva var næringsinntekta fra gården i 2021?</t>
  </si>
  <si>
    <t>Sammenlignet med 2022 før jordbruksavtalen.</t>
  </si>
  <si>
    <t>Utslag i 2023</t>
  </si>
  <si>
    <t>Økte målpriser fra 1/7-22</t>
  </si>
  <si>
    <t>Sum prisendringer</t>
  </si>
  <si>
    <t>Antatt prisøkning for ikke-målprisprodukter fra 1/7-22</t>
  </si>
  <si>
    <t>9,8%</t>
  </si>
  <si>
    <t>11,2%</t>
  </si>
  <si>
    <t>Distriktstilskudd kjøtt</t>
  </si>
  <si>
    <t>Sone for distriktstilskudd melk</t>
  </si>
  <si>
    <t>A</t>
  </si>
  <si>
    <t>Distriktstilskudd melk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</si>
  <si>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</si>
  <si>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</si>
  <si>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</si>
  <si>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</si>
  <si>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</si>
  <si>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</si>
  <si>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</si>
  <si>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</si>
  <si>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</si>
  <si>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Dmelk</t>
  </si>
  <si>
    <t>Melkevolum</t>
  </si>
  <si>
    <t>Storfe/sau</t>
  </si>
  <si>
    <t>Svin</t>
  </si>
  <si>
    <t>Sør Norge</t>
  </si>
  <si>
    <t>Nord Norge</t>
  </si>
  <si>
    <t>Landet</t>
  </si>
  <si>
    <t>Diesel, gass, strøm</t>
  </si>
  <si>
    <t>Forventet kostnadsvekst i 2023:</t>
  </si>
  <si>
    <t>Driftskostnader (Variable + Faste) ekskl. kraftfôr, gjødsel, strøm, diesel, gass og leid hjelp</t>
  </si>
  <si>
    <t>Gjødsel</t>
  </si>
  <si>
    <t>Gjødsel:</t>
  </si>
  <si>
    <t>Kvantum N-gjødsel</t>
  </si>
  <si>
    <t>Kvantum NPK-gjødsel</t>
  </si>
  <si>
    <t>Hvilken pris betalte du for N-gjødsel til årets sesong?</t>
  </si>
  <si>
    <t>Hvilken pris betalte du for NPK-gjødsel til årets sesong?</t>
  </si>
  <si>
    <t>kr/kg</t>
  </si>
  <si>
    <t>Kvantum NPK gjødsel</t>
  </si>
  <si>
    <t>Pris N-gjødsel</t>
  </si>
  <si>
    <t>Pris NPK-gjødsel</t>
  </si>
  <si>
    <t>Forutsatt pris N</t>
  </si>
  <si>
    <t>Forutsatt pris NPK</t>
  </si>
  <si>
    <t>Distriktstilskudd potet</t>
  </si>
  <si>
    <t>SUM UTSLAG 2023 ETTER KOSTNADSDEKKING</t>
  </si>
  <si>
    <r>
      <t>SUM UTSLAG 2023</t>
    </r>
    <r>
      <rPr>
        <b/>
        <sz val="11"/>
        <color indexed="10"/>
        <rFont val="Arial"/>
        <family val="2"/>
      </rPr>
      <t xml:space="preserve"> 2)</t>
    </r>
  </si>
  <si>
    <r>
      <t xml:space="preserve">Gjødselkostnader </t>
    </r>
    <r>
      <rPr>
        <vertAlign val="subscript"/>
        <sz val="11"/>
        <color rgb="FFFF0000"/>
        <rFont val="Arial"/>
        <family val="2"/>
      </rPr>
      <t>3)</t>
    </r>
  </si>
  <si>
    <t>* Mer skattelette pga økt inntekt, omregnet til inntekt før beskatning med 39,7 % marginalskatt</t>
  </si>
  <si>
    <t>UTSLAG INKL. EFFEKT AV JORDBRUKSFRADRAGET *</t>
  </si>
  <si>
    <t>Sammenlignet med økonomien i 2022 før jordbruksavtalen</t>
  </si>
  <si>
    <t>36 øre/liter</t>
  </si>
  <si>
    <t>90 til 100 øre/kg</t>
  </si>
  <si>
    <t>90 øre/kg</t>
  </si>
  <si>
    <t>15 %</t>
  </si>
  <si>
    <t xml:space="preserve"> * Økt bevilgning til RMP. 185 mill. kroner</t>
  </si>
  <si>
    <t xml:space="preserve"> 1-75</t>
  </si>
  <si>
    <t xml:space="preserve"> 76-150</t>
  </si>
  <si>
    <t>Verpehøner, landet 1001-7500</t>
  </si>
  <si>
    <t>25 øre/kg</t>
  </si>
  <si>
    <t>5A</t>
  </si>
  <si>
    <t>5B</t>
  </si>
  <si>
    <t>Distriktstilskudd egg</t>
  </si>
  <si>
    <t>-</t>
  </si>
  <si>
    <t>Sum distriktstilskudd</t>
  </si>
  <si>
    <t>Distriktstilskudd (sum alle)</t>
  </si>
  <si>
    <t>Bygg og fôrhvete</t>
  </si>
  <si>
    <t>3) Spesielt usikkert anslag. Nitratprisene er nylig redusert med ca 30%, men prisprognosen i</t>
  </si>
  <si>
    <t xml:space="preserve">    jordbruksavtalen er ikke justert ned (57,9% prisøkning fra 21/22)</t>
  </si>
  <si>
    <t>Kvalitetstilskudd</t>
  </si>
  <si>
    <t>Storfekjøtt kl O og bedre (ikke kukjøtt)</t>
  </si>
  <si>
    <t>Kvalitetstilskudd storfekjøtt</t>
  </si>
  <si>
    <t>Lammeslakt kl O+ og bedre</t>
  </si>
  <si>
    <t>Kjeslakt &gt; 3,5 kg</t>
  </si>
  <si>
    <t>Kvalitetstilskudd lammeslakt og kjeslakt</t>
  </si>
  <si>
    <t>Jordbruksavtalen forutsetter 57,9% prisvekst. Din prisvekst 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</si>
</sst>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0.000000"/>
  </numFmts>
  <fonts count="4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2"/>
      <color indexed="8"/>
      <name val="Arial"/>
      <family val="2"/>
    </font>
    <font>
      <sz val="11"/>
      <color rgb="FF0070C0"/>
      <name val="Arial"/>
      <family val="2"/>
    </font>
    <font>
      <vertAlign val="subscript"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C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5" fillId="6" borderId="16" xfId="0" applyFont="1" applyFill="1" applyBorder="1" applyAlignment="1" applyProtection="1">
      <alignment horizontal="right"/>
    </xf>
    <xf numFmtId="2" fontId="4" fillId="6" borderId="5" xfId="0" applyNumberFormat="1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2" fontId="4" fillId="8" borderId="0" xfId="0" applyNumberFormat="1" applyFont="1" applyFill="1" applyBorder="1" applyProtection="1"/>
    <xf numFmtId="3" fontId="4" fillId="8" borderId="18" xfId="0" applyNumberFormat="1" applyFont="1" applyFill="1" applyBorder="1" applyProtection="1"/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4" fillId="8" borderId="0" xfId="0" applyFont="1" applyFill="1" applyBorder="1" applyProtection="1"/>
    <xf numFmtId="49" fontId="4" fillId="8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0" fontId="19" fillId="8" borderId="0" xfId="0" applyFont="1" applyFill="1" applyBorder="1" applyAlignment="1" applyProtection="1">
      <alignment horizontal="left"/>
    </xf>
    <xf numFmtId="3" fontId="5" fillId="6" borderId="16" xfId="0" applyNumberFormat="1" applyFont="1" applyFill="1" applyBorder="1" applyProtection="1"/>
    <xf numFmtId="0" fontId="19" fillId="6" borderId="5" xfId="0" applyFont="1" applyFill="1" applyBorder="1" applyProtection="1"/>
    <xf numFmtId="0" fontId="19" fillId="8" borderId="5" xfId="0" applyFont="1" applyFill="1" applyBorder="1" applyProtection="1"/>
    <xf numFmtId="3" fontId="5" fillId="8" borderId="16" xfId="0" applyNumberFormat="1" applyFont="1" applyFill="1" applyBorder="1" applyProtection="1"/>
    <xf numFmtId="3" fontId="5" fillId="9" borderId="16" xfId="0" applyNumberFormat="1" applyFont="1" applyFill="1" applyBorder="1" applyProtection="1"/>
    <xf numFmtId="49" fontId="4" fillId="9" borderId="5" xfId="0" applyNumberFormat="1" applyFont="1" applyFill="1" applyBorder="1" applyProtection="1"/>
    <xf numFmtId="0" fontId="19" fillId="2" borderId="0" xfId="0" applyFont="1" applyFill="1" applyBorder="1" applyProtection="1"/>
    <xf numFmtId="0" fontId="5" fillId="0" borderId="0" xfId="0" applyFont="1" applyFill="1" applyBorder="1" applyProtection="1"/>
    <xf numFmtId="3" fontId="5" fillId="0" borderId="18" xfId="0" applyNumberFormat="1" applyFont="1" applyFill="1" applyBorder="1" applyProtection="1"/>
    <xf numFmtId="0" fontId="4" fillId="2" borderId="18" xfId="0" applyFont="1" applyFill="1" applyBorder="1" applyProtection="1"/>
    <xf numFmtId="0" fontId="4" fillId="0" borderId="0" xfId="0" applyFont="1" applyFill="1" applyBorder="1" applyProtection="1"/>
    <xf numFmtId="0" fontId="4" fillId="2" borderId="15" xfId="0" applyFont="1" applyFill="1" applyBorder="1" applyProtection="1"/>
    <xf numFmtId="0" fontId="4" fillId="2" borderId="22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19" fillId="2" borderId="18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0" fillId="0" borderId="0" xfId="0" applyNumberFormat="1" applyBorder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3" fontId="5" fillId="2" borderId="18" xfId="0" applyNumberFormat="1" applyFont="1" applyFill="1" applyBorder="1" applyProtection="1"/>
    <xf numFmtId="0" fontId="4" fillId="0" borderId="0" xfId="0" applyFont="1" applyFill="1" applyProtection="1"/>
    <xf numFmtId="164" fontId="4" fillId="2" borderId="0" xfId="0" applyNumberFormat="1" applyFont="1" applyFill="1" applyProtection="1"/>
    <xf numFmtId="0" fontId="2" fillId="4" borderId="19" xfId="0" applyFont="1" applyFill="1" applyBorder="1" applyProtection="1"/>
    <xf numFmtId="0" fontId="2" fillId="0" borderId="0" xfId="0" applyFont="1"/>
    <xf numFmtId="0" fontId="32" fillId="0" borderId="0" xfId="0" applyFont="1"/>
    <xf numFmtId="0" fontId="0" fillId="10" borderId="0" xfId="0" applyFill="1"/>
    <xf numFmtId="0" fontId="2" fillId="0" borderId="0" xfId="0" applyFont="1" applyFill="1" applyBorder="1"/>
    <xf numFmtId="165" fontId="4" fillId="7" borderId="0" xfId="1" applyNumberFormat="1" applyFont="1" applyFill="1" applyBorder="1" applyProtection="1"/>
    <xf numFmtId="0" fontId="20" fillId="11" borderId="0" xfId="0" applyFont="1" applyFill="1" applyBorder="1" applyProtection="1"/>
    <xf numFmtId="3" fontId="20" fillId="11" borderId="18" xfId="0" applyNumberFormat="1" applyFont="1" applyFill="1" applyBorder="1" applyProtection="1"/>
    <xf numFmtId="0" fontId="4" fillId="11" borderId="0" xfId="0" applyFont="1" applyFill="1" applyBorder="1" applyProtection="1"/>
    <xf numFmtId="3" fontId="5" fillId="11" borderId="18" xfId="0" applyNumberFormat="1" applyFont="1" applyFill="1" applyBorder="1" applyProtection="1"/>
    <xf numFmtId="0" fontId="10" fillId="3" borderId="0" xfId="0" applyFont="1" applyFill="1" applyBorder="1" applyProtection="1"/>
    <xf numFmtId="0" fontId="11" fillId="3" borderId="26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6" xfId="0" applyFont="1" applyFill="1" applyBorder="1" applyProtection="1"/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0" fontId="11" fillId="3" borderId="27" xfId="0" applyFont="1" applyFill="1" applyBorder="1" applyProtection="1"/>
    <xf numFmtId="3" fontId="27" fillId="3" borderId="4" xfId="0" applyNumberFormat="1" applyFont="1" applyFill="1" applyBorder="1" applyProtection="1"/>
    <xf numFmtId="3" fontId="10" fillId="3" borderId="4" xfId="0" applyNumberFormat="1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0" fontId="2" fillId="0" borderId="0" xfId="0" applyFont="1" applyBorder="1"/>
    <xf numFmtId="3" fontId="10" fillId="13" borderId="18" xfId="0" applyNumberFormat="1" applyFont="1" applyFill="1" applyBorder="1" applyAlignment="1" applyProtection="1">
      <alignment horizontal="right"/>
    </xf>
    <xf numFmtId="49" fontId="10" fillId="13" borderId="0" xfId="0" applyNumberFormat="1" applyFont="1" applyFill="1" applyBorder="1" applyAlignment="1" applyProtection="1">
      <alignment horizontal="right"/>
    </xf>
    <xf numFmtId="3" fontId="10" fillId="13" borderId="20" xfId="0" applyNumberFormat="1" applyFont="1" applyFill="1" applyBorder="1" applyAlignment="1" applyProtection="1">
      <alignment horizontal="right"/>
    </xf>
    <xf numFmtId="0" fontId="10" fillId="13" borderId="0" xfId="0" applyFont="1" applyFill="1" applyBorder="1" applyProtection="1"/>
    <xf numFmtId="0" fontId="25" fillId="13" borderId="0" xfId="0" applyFont="1" applyFill="1" applyBorder="1" applyAlignment="1" applyProtection="1">
      <alignment horizontal="left"/>
    </xf>
    <xf numFmtId="0" fontId="25" fillId="13" borderId="0" xfId="0" applyFont="1" applyFill="1" applyBorder="1" applyProtection="1"/>
    <xf numFmtId="0" fontId="2" fillId="13" borderId="0" xfId="0" applyFont="1" applyFill="1" applyBorder="1" applyProtection="1"/>
    <xf numFmtId="3" fontId="5" fillId="13" borderId="18" xfId="0" applyNumberFormat="1" applyFont="1" applyFill="1" applyBorder="1" applyProtection="1"/>
    <xf numFmtId="0" fontId="21" fillId="14" borderId="5" xfId="0" applyFont="1" applyFill="1" applyBorder="1" applyProtection="1"/>
    <xf numFmtId="0" fontId="8" fillId="15" borderId="5" xfId="0" applyFont="1" applyFill="1" applyBorder="1" applyProtection="1"/>
    <xf numFmtId="3" fontId="29" fillId="15" borderId="16" xfId="0" applyNumberFormat="1" applyFont="1" applyFill="1" applyBorder="1" applyAlignment="1" applyProtection="1">
      <alignment horizontal="right"/>
    </xf>
    <xf numFmtId="0" fontId="31" fillId="15" borderId="5" xfId="0" applyFont="1" applyFill="1" applyBorder="1" applyProtection="1"/>
    <xf numFmtId="3" fontId="29" fillId="15" borderId="20" xfId="0" applyNumberFormat="1" applyFont="1" applyFill="1" applyBorder="1" applyAlignment="1" applyProtection="1">
      <alignment horizontal="right"/>
    </xf>
    <xf numFmtId="3" fontId="34" fillId="15" borderId="16" xfId="0" applyNumberFormat="1" applyFont="1" applyFill="1" applyBorder="1" applyProtection="1"/>
    <xf numFmtId="3" fontId="20" fillId="14" borderId="16" xfId="0" applyNumberFormat="1" applyFont="1" applyFill="1" applyBorder="1" applyProtection="1"/>
    <xf numFmtId="0" fontId="21" fillId="14" borderId="4" xfId="0" applyFont="1" applyFill="1" applyBorder="1" applyProtection="1"/>
    <xf numFmtId="3" fontId="20" fillId="14" borderId="28" xfId="0" applyNumberFormat="1" applyFont="1" applyFill="1" applyBorder="1" applyAlignment="1" applyProtection="1">
      <alignment horizontal="right"/>
    </xf>
    <xf numFmtId="3" fontId="35" fillId="13" borderId="18" xfId="0" applyNumberFormat="1" applyFont="1" applyFill="1" applyBorder="1" applyProtection="1"/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3" fontId="16" fillId="0" borderId="1" xfId="0" applyNumberFormat="1" applyFont="1" applyBorder="1"/>
    <xf numFmtId="1" fontId="0" fillId="0" borderId="0" xfId="0" applyNumberFormat="1" applyFill="1" applyBorder="1"/>
    <xf numFmtId="0" fontId="2" fillId="0" borderId="8" xfId="0" applyFont="1" applyBorder="1"/>
    <xf numFmtId="0" fontId="2" fillId="0" borderId="9" xfId="0" applyFont="1" applyBorder="1"/>
    <xf numFmtId="3" fontId="12" fillId="0" borderId="0" xfId="0" applyNumberFormat="1" applyFont="1" applyFill="1" applyBorder="1" applyProtection="1">
      <protection locked="0"/>
    </xf>
    <xf numFmtId="165" fontId="2" fillId="13" borderId="0" xfId="0" applyNumberFormat="1" applyFont="1" applyFill="1" applyBorder="1" applyProtection="1"/>
    <xf numFmtId="0" fontId="36" fillId="0" borderId="0" xfId="0" applyFont="1" applyFill="1" applyProtection="1"/>
    <xf numFmtId="3" fontId="11" fillId="2" borderId="1" xfId="0" applyNumberFormat="1" applyFont="1" applyFill="1" applyBorder="1" applyProtection="1">
      <protection locked="0"/>
    </xf>
    <xf numFmtId="3" fontId="11" fillId="16" borderId="0" xfId="0" applyNumberFormat="1" applyFont="1" applyFill="1" applyBorder="1" applyProtection="1">
      <protection locked="0"/>
    </xf>
    <xf numFmtId="3" fontId="12" fillId="16" borderId="0" xfId="0" applyNumberFormat="1" applyFont="1" applyFill="1" applyBorder="1" applyProtection="1">
      <protection locked="0"/>
    </xf>
    <xf numFmtId="2" fontId="37" fillId="7" borderId="0" xfId="0" applyNumberFormat="1" applyFont="1" applyFill="1" applyBorder="1" applyProtection="1"/>
    <xf numFmtId="0" fontId="11" fillId="17" borderId="26" xfId="0" applyFont="1" applyFill="1" applyBorder="1" applyProtection="1"/>
    <xf numFmtId="0" fontId="10" fillId="17" borderId="26" xfId="0" applyFont="1" applyFill="1" applyBorder="1" applyProtection="1"/>
    <xf numFmtId="3" fontId="12" fillId="17" borderId="0" xfId="0" applyNumberFormat="1" applyFont="1" applyFill="1" applyBorder="1" applyProtection="1">
      <protection locked="0"/>
    </xf>
    <xf numFmtId="0" fontId="11" fillId="17" borderId="18" xfId="0" applyFont="1" applyFill="1" applyBorder="1" applyProtection="1"/>
    <xf numFmtId="0" fontId="4" fillId="16" borderId="0" xfId="0" applyFont="1" applyFill="1" applyProtection="1"/>
    <xf numFmtId="3" fontId="11" fillId="0" borderId="1" xfId="0" applyNumberFormat="1" applyFont="1" applyFill="1" applyBorder="1" applyProtection="1">
      <protection locked="0"/>
    </xf>
    <xf numFmtId="0" fontId="22" fillId="2" borderId="29" xfId="0" applyFont="1" applyFill="1" applyBorder="1" applyProtection="1"/>
    <xf numFmtId="0" fontId="19" fillId="2" borderId="15" xfId="0" applyFont="1" applyFill="1" applyBorder="1" applyProtection="1"/>
    <xf numFmtId="3" fontId="19" fillId="2" borderId="22" xfId="0" applyNumberFormat="1" applyFont="1" applyFill="1" applyBorder="1" applyProtection="1"/>
    <xf numFmtId="3" fontId="0" fillId="0" borderId="4" xfId="0" applyNumberFormat="1" applyBorder="1"/>
    <xf numFmtId="0" fontId="2" fillId="0" borderId="6" xfId="0" applyFont="1" applyBorder="1"/>
    <xf numFmtId="3" fontId="4" fillId="2" borderId="22" xfId="0" applyNumberFormat="1" applyFont="1" applyFill="1" applyBorder="1" applyProtection="1"/>
    <xf numFmtId="2" fontId="4" fillId="6" borderId="0" xfId="0" applyNumberFormat="1" applyFont="1" applyFill="1" applyBorder="1" applyProtection="1"/>
    <xf numFmtId="3" fontId="5" fillId="6" borderId="18" xfId="0" applyNumberFormat="1" applyFont="1" applyFill="1" applyBorder="1" applyProtection="1"/>
    <xf numFmtId="2" fontId="10" fillId="13" borderId="0" xfId="0" applyNumberFormat="1" applyFont="1" applyFill="1" applyBorder="1" applyAlignment="1" applyProtection="1">
      <alignment horizontal="right"/>
    </xf>
    <xf numFmtId="3" fontId="35" fillId="13" borderId="18" xfId="0" applyNumberFormat="1" applyFont="1" applyFill="1" applyBorder="1" applyAlignment="1" applyProtection="1">
      <alignment horizontal="right"/>
    </xf>
    <xf numFmtId="0" fontId="4" fillId="10" borderId="0" xfId="0" applyFont="1" applyFill="1" applyBorder="1"/>
    <xf numFmtId="0" fontId="2" fillId="0" borderId="1" xfId="0" applyFont="1" applyBorder="1"/>
    <xf numFmtId="49" fontId="4" fillId="9" borderId="0" xfId="0" applyNumberFormat="1" applyFont="1" applyFill="1" applyBorder="1" applyProtection="1"/>
    <xf numFmtId="3" fontId="5" fillId="9" borderId="18" xfId="0" applyNumberFormat="1" applyFont="1" applyFill="1" applyBorder="1" applyProtection="1"/>
    <xf numFmtId="3" fontId="16" fillId="0" borderId="4" xfId="0" applyNumberFormat="1" applyFont="1" applyBorder="1"/>
    <xf numFmtId="0" fontId="2" fillId="0" borderId="11" xfId="0" applyFont="1" applyFill="1" applyBorder="1"/>
    <xf numFmtId="0" fontId="4" fillId="0" borderId="5" xfId="0" applyFont="1" applyFill="1" applyBorder="1"/>
    <xf numFmtId="0" fontId="37" fillId="0" borderId="5" xfId="0" applyFont="1" applyBorder="1"/>
    <xf numFmtId="0" fontId="2" fillId="0" borderId="7" xfId="0" applyFont="1" applyBorder="1"/>
    <xf numFmtId="0" fontId="2" fillId="18" borderId="0" xfId="0" applyFont="1" applyFill="1"/>
    <xf numFmtId="164" fontId="0" fillId="18" borderId="0" xfId="0" applyNumberFormat="1" applyFill="1"/>
    <xf numFmtId="0" fontId="0" fillId="18" borderId="0" xfId="0" applyFill="1"/>
    <xf numFmtId="0" fontId="4" fillId="18" borderId="1" xfId="0" applyFont="1" applyFill="1" applyBorder="1"/>
    <xf numFmtId="0" fontId="4" fillId="18" borderId="10" xfId="0" applyFont="1" applyFill="1" applyBorder="1"/>
    <xf numFmtId="0" fontId="4" fillId="18" borderId="0" xfId="0" applyFont="1" applyFill="1" applyBorder="1"/>
    <xf numFmtId="0" fontId="18" fillId="18" borderId="0" xfId="0" applyFont="1" applyFill="1" applyBorder="1"/>
    <xf numFmtId="1" fontId="3" fillId="0" borderId="1" xfId="0" applyNumberFormat="1" applyFont="1" applyFill="1" applyBorder="1"/>
    <xf numFmtId="1" fontId="0" fillId="0" borderId="1" xfId="0" applyNumberFormat="1" applyFill="1" applyBorder="1"/>
    <xf numFmtId="0" fontId="2" fillId="0" borderId="9" xfId="0" applyFont="1" applyFill="1" applyBorder="1"/>
    <xf numFmtId="3" fontId="4" fillId="0" borderId="0" xfId="0" applyNumberFormat="1" applyFont="1" applyBorder="1"/>
    <xf numFmtId="2" fontId="2" fillId="0" borderId="8" xfId="0" applyNumberFormat="1" applyFont="1" applyBorder="1"/>
    <xf numFmtId="17" fontId="2" fillId="0" borderId="8" xfId="0" applyNumberFormat="1" applyFont="1" applyBorder="1"/>
    <xf numFmtId="0" fontId="2" fillId="10" borderId="0" xfId="0" applyFont="1" applyFill="1" applyBorder="1"/>
    <xf numFmtId="3" fontId="0" fillId="0" borderId="1" xfId="0" applyNumberFormat="1" applyBorder="1"/>
    <xf numFmtId="0" fontId="1" fillId="0" borderId="11" xfId="0" applyFont="1" applyBorder="1"/>
    <xf numFmtId="0" fontId="1" fillId="0" borderId="8" xfId="0" applyFont="1" applyBorder="1"/>
    <xf numFmtId="3" fontId="0" fillId="0" borderId="0" xfId="0" applyNumberFormat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1" xfId="0" applyFill="1" applyBorder="1"/>
    <xf numFmtId="0" fontId="2" fillId="19" borderId="0" xfId="0" applyFont="1" applyFill="1" applyBorder="1"/>
    <xf numFmtId="0" fontId="1" fillId="19" borderId="0" xfId="0" applyFont="1" applyFill="1"/>
    <xf numFmtId="0" fontId="1" fillId="19" borderId="1" xfId="0" applyFont="1" applyFill="1" applyBorder="1"/>
    <xf numFmtId="0" fontId="2" fillId="19" borderId="0" xfId="0" applyFont="1" applyFill="1"/>
    <xf numFmtId="0" fontId="2" fillId="19" borderId="1" xfId="0" applyFont="1" applyFill="1" applyBorder="1"/>
    <xf numFmtId="0" fontId="2" fillId="19" borderId="0" xfId="0" quotePrefix="1" applyFont="1" applyFill="1"/>
    <xf numFmtId="166" fontId="2" fillId="19" borderId="0" xfId="0" applyNumberFormat="1" applyFont="1" applyFill="1"/>
    <xf numFmtId="1" fontId="1" fillId="19" borderId="0" xfId="0" applyNumberFormat="1" applyFont="1" applyFill="1"/>
    <xf numFmtId="0" fontId="5" fillId="0" borderId="0" xfId="0" applyFont="1" applyFill="1"/>
    <xf numFmtId="2" fontId="2" fillId="7" borderId="0" xfId="0" applyNumberFormat="1" applyFont="1" applyFill="1" applyBorder="1" applyProtection="1"/>
    <xf numFmtId="0" fontId="11" fillId="0" borderId="0" xfId="0" applyFont="1"/>
    <xf numFmtId="0" fontId="37" fillId="0" borderId="4" xfId="0" applyFont="1" applyBorder="1"/>
    <xf numFmtId="0" fontId="10" fillId="12" borderId="2" xfId="0" applyFont="1" applyFill="1" applyBorder="1" applyProtection="1"/>
    <xf numFmtId="0" fontId="10" fillId="3" borderId="18" xfId="0" applyFont="1" applyFill="1" applyBorder="1" applyProtection="1"/>
    <xf numFmtId="0" fontId="26" fillId="3" borderId="28" xfId="0" applyFont="1" applyFill="1" applyBorder="1" applyProtection="1"/>
    <xf numFmtId="3" fontId="10" fillId="3" borderId="0" xfId="0" applyNumberFormat="1" applyFont="1" applyFill="1" applyBorder="1" applyProtection="1"/>
    <xf numFmtId="3" fontId="11" fillId="16" borderId="1" xfId="0" applyNumberFormat="1" applyFont="1" applyFill="1" applyBorder="1" applyProtection="1">
      <protection locked="0"/>
    </xf>
    <xf numFmtId="49" fontId="10" fillId="13" borderId="1" xfId="0" applyNumberFormat="1" applyFont="1" applyFill="1" applyBorder="1" applyAlignment="1" applyProtection="1">
      <alignment horizontal="right"/>
    </xf>
    <xf numFmtId="0" fontId="5" fillId="6" borderId="18" xfId="0" applyFont="1" applyFill="1" applyBorder="1" applyAlignment="1" applyProtection="1">
      <alignment horizontal="right"/>
    </xf>
    <xf numFmtId="0" fontId="40" fillId="3" borderId="26" xfId="0" applyFont="1" applyFill="1" applyBorder="1" applyProtection="1"/>
    <xf numFmtId="165" fontId="10" fillId="13" borderId="0" xfId="1" applyNumberFormat="1" applyFont="1" applyFill="1" applyBorder="1" applyAlignment="1" applyProtection="1">
      <alignment horizontal="right"/>
    </xf>
    <xf numFmtId="3" fontId="2" fillId="0" borderId="0" xfId="0" applyNumberFormat="1" applyFont="1" applyBorder="1"/>
    <xf numFmtId="0" fontId="2" fillId="10" borderId="0" xfId="0" applyFont="1" applyFill="1"/>
    <xf numFmtId="3" fontId="2" fillId="0" borderId="0" xfId="0" applyNumberFormat="1" applyFont="1" applyFill="1" applyBorder="1"/>
    <xf numFmtId="3" fontId="4" fillId="0" borderId="0" xfId="0" applyNumberFormat="1" applyFont="1" applyFill="1" applyProtection="1"/>
    <xf numFmtId="0" fontId="21" fillId="20" borderId="5" xfId="0" applyFont="1" applyFill="1" applyBorder="1" applyProtection="1"/>
    <xf numFmtId="0" fontId="41" fillId="3" borderId="26" xfId="0" applyFont="1" applyFill="1" applyBorder="1" applyProtection="1"/>
    <xf numFmtId="0" fontId="2" fillId="21" borderId="4" xfId="0" applyFont="1" applyFill="1" applyBorder="1"/>
    <xf numFmtId="0" fontId="16" fillId="21" borderId="4" xfId="0" applyFont="1" applyFill="1" applyBorder="1"/>
    <xf numFmtId="0" fontId="18" fillId="22" borderId="0" xfId="0" applyFont="1" applyFill="1" applyBorder="1"/>
    <xf numFmtId="0" fontId="0" fillId="22" borderId="0" xfId="0" applyFill="1"/>
    <xf numFmtId="1" fontId="10" fillId="13" borderId="2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8" xfId="0" applyFont="1" applyFill="1" applyBorder="1"/>
    <xf numFmtId="0" fontId="1" fillId="0" borderId="8" xfId="0" applyFont="1" applyFill="1" applyBorder="1"/>
    <xf numFmtId="0" fontId="1" fillId="23" borderId="0" xfId="0" applyFont="1" applyFill="1"/>
    <xf numFmtId="9" fontId="10" fillId="13" borderId="0" xfId="1" applyFont="1" applyFill="1" applyBorder="1" applyAlignment="1" applyProtection="1">
      <alignment horizontal="right"/>
    </xf>
    <xf numFmtId="0" fontId="10" fillId="17" borderId="21" xfId="0" applyFont="1" applyFill="1" applyBorder="1" applyProtection="1"/>
    <xf numFmtId="0" fontId="11" fillId="17" borderId="20" xfId="0" applyFont="1" applyFill="1" applyBorder="1" applyProtection="1"/>
    <xf numFmtId="3" fontId="44" fillId="13" borderId="18" xfId="0" applyNumberFormat="1" applyFont="1" applyFill="1" applyBorder="1" applyAlignment="1" applyProtection="1">
      <alignment horizontal="right"/>
    </xf>
    <xf numFmtId="0" fontId="14" fillId="3" borderId="23" xfId="0" applyFont="1" applyFill="1" applyBorder="1" applyProtection="1"/>
    <xf numFmtId="0" fontId="11" fillId="3" borderId="28" xfId="0" applyFont="1" applyFill="1" applyBorder="1" applyProtection="1"/>
    <xf numFmtId="0" fontId="40" fillId="3" borderId="0" xfId="0" applyFont="1" applyFill="1" applyBorder="1" applyProtection="1"/>
    <xf numFmtId="0" fontId="21" fillId="14" borderId="0" xfId="0" applyFont="1" applyFill="1" applyBorder="1" applyProtection="1"/>
    <xf numFmtId="0" fontId="21" fillId="16" borderId="14" xfId="0" applyFont="1" applyFill="1" applyBorder="1" applyProtection="1"/>
    <xf numFmtId="3" fontId="20" fillId="16" borderId="23" xfId="0" applyNumberFormat="1" applyFont="1" applyFill="1" applyBorder="1" applyProtection="1"/>
    <xf numFmtId="0" fontId="21" fillId="16" borderId="31" xfId="0" applyFont="1" applyFill="1" applyBorder="1" applyProtection="1"/>
    <xf numFmtId="3" fontId="20" fillId="16" borderId="32" xfId="0" applyNumberFormat="1" applyFont="1" applyFill="1" applyBorder="1" applyProtection="1"/>
    <xf numFmtId="0" fontId="20" fillId="6" borderId="14" xfId="0" applyFont="1" applyFill="1" applyBorder="1" applyAlignment="1" applyProtection="1">
      <alignment horizontal="right"/>
    </xf>
    <xf numFmtId="3" fontId="20" fillId="6" borderId="23" xfId="0" applyNumberFormat="1" applyFont="1" applyFill="1" applyBorder="1" applyAlignment="1" applyProtection="1">
      <alignment horizontal="right"/>
    </xf>
    <xf numFmtId="3" fontId="20" fillId="20" borderId="16" xfId="0" applyNumberFormat="1" applyFont="1" applyFill="1" applyBorder="1" applyProtection="1"/>
    <xf numFmtId="3" fontId="20" fillId="14" borderId="28" xfId="0" applyNumberFormat="1" applyFont="1" applyFill="1" applyBorder="1" applyProtection="1"/>
    <xf numFmtId="3" fontId="20" fillId="14" borderId="18" xfId="0" applyNumberFormat="1" applyFont="1" applyFill="1" applyBorder="1" applyProtection="1"/>
    <xf numFmtId="0" fontId="20" fillId="2" borderId="0" xfId="0" applyFont="1" applyFill="1" applyProtection="1"/>
    <xf numFmtId="4" fontId="11" fillId="2" borderId="0" xfId="0" applyNumberFormat="1" applyFont="1" applyFill="1" applyBorder="1" applyProtection="1">
      <protection locked="0"/>
    </xf>
    <xf numFmtId="4" fontId="0" fillId="0" borderId="0" xfId="0" applyNumberFormat="1"/>
    <xf numFmtId="0" fontId="11" fillId="17" borderId="0" xfId="0" applyFont="1" applyFill="1" applyBorder="1" applyProtection="1"/>
    <xf numFmtId="0" fontId="41" fillId="16" borderId="13" xfId="0" applyFont="1" applyFill="1" applyBorder="1" applyProtection="1"/>
    <xf numFmtId="0" fontId="22" fillId="2" borderId="26" xfId="0" applyFont="1" applyFill="1" applyBorder="1" applyProtection="1"/>
    <xf numFmtId="3" fontId="4" fillId="2" borderId="18" xfId="0" applyNumberFormat="1" applyFont="1" applyFill="1" applyBorder="1" applyProtection="1"/>
    <xf numFmtId="0" fontId="10" fillId="12" borderId="0" xfId="0" applyFont="1" applyFill="1" applyBorder="1" applyProtection="1"/>
    <xf numFmtId="0" fontId="0" fillId="24" borderId="0" xfId="0" applyFill="1"/>
    <xf numFmtId="0" fontId="13" fillId="6" borderId="33" xfId="0" applyFont="1" applyFill="1" applyBorder="1" applyProtection="1"/>
    <xf numFmtId="0" fontId="43" fillId="6" borderId="33" xfId="0" applyFont="1" applyFill="1" applyBorder="1" applyProtection="1"/>
    <xf numFmtId="0" fontId="11" fillId="12" borderId="19" xfId="0" applyFont="1" applyFill="1" applyBorder="1" applyProtection="1"/>
    <xf numFmtId="0" fontId="10" fillId="12" borderId="19" xfId="0" applyFont="1" applyFill="1" applyBorder="1" applyProtection="1"/>
    <xf numFmtId="0" fontId="10" fillId="12" borderId="34" xfId="0" applyFont="1" applyFill="1" applyBorder="1" applyProtection="1"/>
    <xf numFmtId="0" fontId="11" fillId="12" borderId="17" xfId="0" applyFont="1" applyFill="1" applyBorder="1" applyProtection="1"/>
    <xf numFmtId="0" fontId="29" fillId="15" borderId="35" xfId="0" applyFont="1" applyFill="1" applyBorder="1" applyProtection="1"/>
    <xf numFmtId="3" fontId="4" fillId="13" borderId="18" xfId="0" applyNumberFormat="1" applyFont="1" applyFill="1" applyBorder="1" applyProtection="1"/>
    <xf numFmtId="0" fontId="10" fillId="12" borderId="19" xfId="0" applyFont="1" applyFill="1" applyBorder="1" applyAlignment="1" applyProtection="1"/>
    <xf numFmtId="0" fontId="20" fillId="14" borderId="17" xfId="0" applyFont="1" applyFill="1" applyBorder="1" applyProtection="1"/>
    <xf numFmtId="0" fontId="33" fillId="11" borderId="26" xfId="0" applyFont="1" applyFill="1" applyBorder="1" applyProtection="1"/>
    <xf numFmtId="0" fontId="33" fillId="11" borderId="21" xfId="0" applyFont="1" applyFill="1" applyBorder="1" applyProtection="1"/>
    <xf numFmtId="0" fontId="20" fillId="14" borderId="36" xfId="0" applyFont="1" applyFill="1" applyBorder="1" applyProtection="1"/>
    <xf numFmtId="0" fontId="20" fillId="20" borderId="36" xfId="0" applyFont="1" applyFill="1" applyBorder="1" applyProtection="1"/>
    <xf numFmtId="0" fontId="20" fillId="14" borderId="27" xfId="0" applyFont="1" applyFill="1" applyBorder="1" applyProtection="1"/>
    <xf numFmtId="0" fontId="20" fillId="14" borderId="29" xfId="0" applyFont="1" applyFill="1" applyBorder="1" applyProtection="1"/>
    <xf numFmtId="0" fontId="21" fillId="14" borderId="15" xfId="0" applyFont="1" applyFill="1" applyBorder="1" applyProtection="1"/>
    <xf numFmtId="3" fontId="20" fillId="14" borderId="22" xfId="0" applyNumberFormat="1" applyFont="1" applyFill="1" applyBorder="1" applyProtection="1"/>
    <xf numFmtId="0" fontId="46" fillId="2" borderId="26" xfId="0" applyFont="1" applyFill="1" applyBorder="1" applyProtection="1"/>
    <xf numFmtId="0" fontId="46" fillId="0" borderId="29" xfId="0" applyFont="1" applyBorder="1" applyProtection="1"/>
    <xf numFmtId="0" fontId="10" fillId="17" borderId="37" xfId="0" applyFont="1" applyFill="1" applyBorder="1" applyAlignment="1" applyProtection="1">
      <alignment horizontal="left" vertical="top" wrapText="1"/>
    </xf>
    <xf numFmtId="3" fontId="11" fillId="2" borderId="31" xfId="0" applyNumberFormat="1" applyFont="1" applyFill="1" applyBorder="1" applyProtection="1">
      <protection locked="0"/>
    </xf>
    <xf numFmtId="0" fontId="11" fillId="17" borderId="32" xfId="0" applyFont="1" applyFill="1" applyBorder="1" applyProtection="1"/>
    <xf numFmtId="0" fontId="43" fillId="6" borderId="13" xfId="0" applyFont="1" applyFill="1" applyBorder="1" applyProtection="1"/>
    <xf numFmtId="0" fontId="20" fillId="6" borderId="37" xfId="0" applyFont="1" applyFill="1" applyBorder="1" applyAlignment="1" applyProtection="1">
      <alignment horizontal="right"/>
    </xf>
    <xf numFmtId="3" fontId="20" fillId="6" borderId="32" xfId="0" applyNumberFormat="1" applyFont="1" applyFill="1" applyBorder="1" applyAlignment="1" applyProtection="1">
      <alignment horizontal="right"/>
    </xf>
    <xf numFmtId="0" fontId="20" fillId="14" borderId="26" xfId="0" applyFont="1" applyFill="1" applyBorder="1" applyProtection="1"/>
    <xf numFmtId="0" fontId="41" fillId="16" borderId="37" xfId="0" applyFont="1" applyFill="1" applyBorder="1" applyProtection="1"/>
    <xf numFmtId="0" fontId="4" fillId="2" borderId="26" xfId="0" applyFont="1" applyFill="1" applyBorder="1" applyProtection="1"/>
    <xf numFmtId="0" fontId="11" fillId="3" borderId="1" xfId="0" applyFont="1" applyFill="1" applyBorder="1" applyProtection="1"/>
    <xf numFmtId="0" fontId="11" fillId="3" borderId="0" xfId="0" applyFont="1" applyFill="1" applyBorder="1" applyProtection="1"/>
    <xf numFmtId="0" fontId="28" fillId="12" borderId="38" xfId="0" applyFont="1" applyFill="1" applyBorder="1" applyProtection="1"/>
    <xf numFmtId="0" fontId="10" fillId="12" borderId="39" xfId="0" applyFont="1" applyFill="1" applyBorder="1" applyProtection="1"/>
    <xf numFmtId="0" fontId="10" fillId="12" borderId="40" xfId="0" applyFont="1" applyFill="1" applyBorder="1" applyProtection="1"/>
    <xf numFmtId="0" fontId="2" fillId="25" borderId="41" xfId="0" applyFont="1" applyFill="1" applyBorder="1" applyProtection="1"/>
    <xf numFmtId="165" fontId="47" fillId="25" borderId="42" xfId="1" applyNumberFormat="1" applyFont="1" applyFill="1" applyBorder="1" applyProtection="1"/>
    <xf numFmtId="3" fontId="4" fillId="25" borderId="43" xfId="0" applyNumberFormat="1" applyFont="1" applyFill="1" applyBorder="1" applyProtection="1"/>
    <xf numFmtId="0" fontId="10" fillId="12" borderId="41" xfId="0" applyFont="1" applyFill="1" applyBorder="1" applyProtection="1"/>
    <xf numFmtId="2" fontId="10" fillId="13" borderId="42" xfId="0" applyNumberFormat="1" applyFont="1" applyFill="1" applyBorder="1" applyAlignment="1" applyProtection="1">
      <alignment horizontal="right"/>
    </xf>
    <xf numFmtId="3" fontId="35" fillId="13" borderId="43" xfId="0" applyNumberFormat="1" applyFont="1" applyFill="1" applyBorder="1" applyAlignment="1" applyProtection="1">
      <alignment horizontal="right"/>
    </xf>
    <xf numFmtId="0" fontId="26" fillId="3" borderId="0" xfId="0" applyFont="1" applyFill="1" applyBorder="1" applyProtection="1"/>
    <xf numFmtId="0" fontId="11" fillId="12" borderId="38" xfId="0" applyFont="1" applyFill="1" applyBorder="1" applyProtection="1"/>
    <xf numFmtId="0" fontId="13" fillId="6" borderId="30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5" fillId="6" borderId="24" xfId="0" applyFont="1" applyFill="1" applyBorder="1" applyAlignment="1" applyProtection="1">
      <alignment horizontal="right"/>
    </xf>
    <xf numFmtId="0" fontId="4" fillId="6" borderId="25" xfId="0" applyFont="1" applyFill="1" applyBorder="1" applyAlignment="1" applyProtection="1">
      <alignment horizontal="right"/>
    </xf>
    <xf numFmtId="0" fontId="13" fillId="6" borderId="14" xfId="0" applyFont="1" applyFill="1" applyBorder="1" applyAlignment="1" applyProtection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1:AH299"/>
  <sheetViews>
    <sheetView topLeftCell="A247" workbookViewId="0">
      <selection activeCell="F165" sqref="F165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 x14ac:dyDescent="0.2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 x14ac:dyDescent="0.2">
      <c r="A4" s="73" t="s">
        <v>47</v>
      </c>
      <c r="B4" s="5" t="s">
        <v>88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 x14ac:dyDescent="0.2">
      <c r="A5" s="73"/>
      <c r="B5" s="21" t="s">
        <v>82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 x14ac:dyDescent="0.2">
      <c r="A6" s="73" t="s">
        <v>50</v>
      </c>
      <c r="B6" s="21" t="s">
        <v>89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 x14ac:dyDescent="0.2">
      <c r="A7" s="73"/>
      <c r="B7" s="21" t="s">
        <v>91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 x14ac:dyDescent="0.2">
      <c r="A8" s="73" t="s">
        <v>48</v>
      </c>
      <c r="B8" s="5" t="s">
        <v>90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 x14ac:dyDescent="0.2">
      <c r="A9" s="73"/>
      <c r="B9" s="3" t="s">
        <v>92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 x14ac:dyDescent="0.2">
      <c r="A10" s="73" t="s">
        <v>62</v>
      </c>
      <c r="B10" s="21" t="s">
        <v>84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 x14ac:dyDescent="0.2">
      <c r="A11" s="73"/>
      <c r="B11" s="21" t="s">
        <v>85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 x14ac:dyDescent="0.2">
      <c r="A12" s="73"/>
      <c r="B12" s="21" t="s">
        <v>83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 x14ac:dyDescent="0.2">
      <c r="A13" s="73" t="s">
        <v>143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 x14ac:dyDescent="0.2">
      <c r="A14" s="90"/>
      <c r="B14" s="5" t="s">
        <v>86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 x14ac:dyDescent="0.2">
      <c r="A15" s="5"/>
      <c r="B15" s="21" t="s">
        <v>87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 x14ac:dyDescent="0.2">
      <c r="A16" s="73" t="s">
        <v>141</v>
      </c>
      <c r="B16" s="21" t="s">
        <v>84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 x14ac:dyDescent="0.2">
      <c r="A17" s="90"/>
      <c r="B17" s="5" t="s">
        <v>86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 x14ac:dyDescent="0.2">
      <c r="A18" s="74"/>
      <c r="B18" s="33" t="s">
        <v>87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 x14ac:dyDescent="0.2">
      <c r="A19" s="5"/>
      <c r="B19" s="21"/>
      <c r="C19" s="15"/>
      <c r="D19" s="15"/>
      <c r="E19" s="15"/>
      <c r="F19" s="15"/>
      <c r="G19" s="15"/>
      <c r="H19" s="15"/>
      <c r="I19" s="15"/>
    </row>
    <row r="20" spans="1:10" x14ac:dyDescent="0.2">
      <c r="A20" s="1"/>
      <c r="B20" s="2"/>
      <c r="C20" s="1"/>
      <c r="D20" s="1"/>
      <c r="E20" s="1"/>
      <c r="F20" s="1"/>
      <c r="G20" s="1"/>
      <c r="H20" s="1"/>
      <c r="I20" s="1"/>
    </row>
    <row r="21" spans="1:10" x14ac:dyDescent="0.2">
      <c r="A21" s="66"/>
      <c r="B21" s="41" t="s">
        <v>142</v>
      </c>
      <c r="C21" s="42"/>
      <c r="D21" s="42"/>
      <c r="E21" s="68"/>
      <c r="F21" s="5"/>
      <c r="G21" s="5"/>
      <c r="H21" s="1"/>
      <c r="I21" s="1"/>
    </row>
    <row r="22" spans="1:10" ht="15" x14ac:dyDescent="0.25">
      <c r="A22" s="73" t="s">
        <v>47</v>
      </c>
      <c r="B22" s="42" t="s">
        <v>88</v>
      </c>
      <c r="C22" s="44">
        <f>IF((Satser!M2+Satser!M3*0.6)&lt;200,(Satser!M2+Satser!M3*0.6),200)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 x14ac:dyDescent="0.25">
      <c r="A23" s="73"/>
      <c r="B23" s="33" t="s">
        <v>82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 x14ac:dyDescent="0.2">
      <c r="A24" s="73" t="s">
        <v>50</v>
      </c>
      <c r="B24" s="62" t="s">
        <v>89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 x14ac:dyDescent="0.2">
      <c r="A25" s="73"/>
      <c r="B25" s="33" t="s">
        <v>91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 x14ac:dyDescent="0.2">
      <c r="A26" s="73" t="s">
        <v>48</v>
      </c>
      <c r="B26" s="42" t="s">
        <v>90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 x14ac:dyDescent="0.2">
      <c r="A27" s="73"/>
      <c r="B27" s="5" t="s">
        <v>92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 x14ac:dyDescent="0.2">
      <c r="A28" s="73" t="s">
        <v>62</v>
      </c>
      <c r="B28" s="62" t="s">
        <v>84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 x14ac:dyDescent="0.2">
      <c r="A29" s="73"/>
      <c r="B29" s="21" t="s">
        <v>85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 x14ac:dyDescent="0.2">
      <c r="A30" s="73"/>
      <c r="B30" s="21" t="s">
        <v>83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 x14ac:dyDescent="0.2">
      <c r="A31" s="73" t="s">
        <v>143</v>
      </c>
      <c r="B31" s="62" t="s">
        <v>84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 x14ac:dyDescent="0.2">
      <c r="A32" s="90"/>
      <c r="B32" s="5" t="s">
        <v>86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 x14ac:dyDescent="0.2">
      <c r="A33" s="90"/>
      <c r="B33" s="33" t="s">
        <v>87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 x14ac:dyDescent="0.2">
      <c r="A34" s="73" t="s">
        <v>141</v>
      </c>
      <c r="B34" s="62" t="s">
        <v>84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 x14ac:dyDescent="0.2">
      <c r="A35" s="90"/>
      <c r="B35" s="5" t="s">
        <v>86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 x14ac:dyDescent="0.2">
      <c r="A36" s="90"/>
      <c r="B36" s="33" t="s">
        <v>87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 x14ac:dyDescent="0.2">
      <c r="A37" s="83"/>
      <c r="B37" s="96" t="s">
        <v>123</v>
      </c>
      <c r="C37" s="3"/>
      <c r="D37" s="3"/>
      <c r="E37" s="86" t="e">
        <f>SUM(E22:E36)</f>
        <v>#REF!</v>
      </c>
      <c r="F37" s="6"/>
      <c r="G37" s="5"/>
      <c r="H37" s="5"/>
    </row>
    <row r="38" spans="1:8" x14ac:dyDescent="0.2">
      <c r="B38" s="5"/>
      <c r="C38" s="5"/>
      <c r="D38" s="5"/>
      <c r="E38" s="5"/>
      <c r="F38" s="3"/>
      <c r="G38" s="5"/>
      <c r="H38" s="21"/>
    </row>
    <row r="39" spans="1:8" x14ac:dyDescent="0.2">
      <c r="A39" s="1"/>
      <c r="B39" s="66"/>
      <c r="C39" s="42"/>
      <c r="D39" s="42"/>
      <c r="E39" s="67"/>
      <c r="F39" s="70"/>
      <c r="G39" s="1"/>
      <c r="H39" s="17"/>
    </row>
    <row r="40" spans="1:8" x14ac:dyDescent="0.2">
      <c r="A40" s="1"/>
      <c r="B40" s="69" t="s">
        <v>19</v>
      </c>
      <c r="C40" s="5"/>
      <c r="D40" s="5"/>
      <c r="E40" s="5"/>
      <c r="F40" s="70"/>
      <c r="G40" s="1"/>
    </row>
    <row r="41" spans="1:8" x14ac:dyDescent="0.2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 x14ac:dyDescent="0.2">
      <c r="A42" s="1"/>
      <c r="B42" s="69" t="s">
        <v>4</v>
      </c>
      <c r="C42" s="5"/>
      <c r="D42" s="5"/>
      <c r="E42" s="5"/>
      <c r="F42" s="70"/>
      <c r="G42" s="1"/>
    </row>
    <row r="43" spans="1:8" x14ac:dyDescent="0.2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 x14ac:dyDescent="0.2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 x14ac:dyDescent="0.2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 x14ac:dyDescent="0.2">
      <c r="A46" s="1"/>
      <c r="B46" s="76" t="s">
        <v>124</v>
      </c>
      <c r="C46" s="37"/>
      <c r="D46" s="34"/>
      <c r="E46" s="37"/>
      <c r="F46" s="77" t="e">
        <f>SUM(E43:E45)</f>
        <v>#REF!</v>
      </c>
      <c r="G46" s="1"/>
    </row>
    <row r="47" spans="1:8" x14ac:dyDescent="0.2">
      <c r="A47" s="1"/>
      <c r="B47" s="78" t="s">
        <v>6</v>
      </c>
      <c r="C47" s="42"/>
      <c r="D47" s="43"/>
      <c r="E47" s="42"/>
      <c r="F47" s="68"/>
      <c r="G47" s="1"/>
    </row>
    <row r="48" spans="1:8" x14ac:dyDescent="0.2">
      <c r="A48" s="1"/>
      <c r="B48" s="73" t="s">
        <v>93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 x14ac:dyDescent="0.2">
      <c r="A49" s="1"/>
      <c r="B49" s="74" t="s">
        <v>94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 x14ac:dyDescent="0.2">
      <c r="A50" s="1"/>
      <c r="B50" s="74" t="s">
        <v>124</v>
      </c>
      <c r="C50" s="3"/>
      <c r="D50" s="14"/>
      <c r="E50" s="3"/>
      <c r="F50" s="72" t="e">
        <f>SUM(E48:E49)</f>
        <v>#REF!</v>
      </c>
      <c r="G50" s="1"/>
    </row>
    <row r="51" spans="1:7" x14ac:dyDescent="0.2">
      <c r="A51" s="1"/>
      <c r="B51" s="78" t="s">
        <v>7</v>
      </c>
      <c r="C51" s="42"/>
      <c r="D51" s="43"/>
      <c r="E51" s="42"/>
      <c r="F51" s="68"/>
      <c r="G51" s="1"/>
    </row>
    <row r="52" spans="1:7" x14ac:dyDescent="0.2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 x14ac:dyDescent="0.2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 x14ac:dyDescent="0.2">
      <c r="A54" s="1"/>
      <c r="B54" s="76" t="s">
        <v>124</v>
      </c>
      <c r="C54" s="5"/>
      <c r="D54" s="15"/>
      <c r="E54" s="5"/>
      <c r="F54" s="72" t="e">
        <f>SUM(E52:E53)</f>
        <v>#REF!</v>
      </c>
      <c r="G54" s="1"/>
    </row>
    <row r="55" spans="1:7" x14ac:dyDescent="0.2">
      <c r="A55" s="1"/>
      <c r="B55" s="78" t="s">
        <v>97</v>
      </c>
      <c r="C55" s="44"/>
      <c r="D55" s="45"/>
      <c r="E55" s="44"/>
      <c r="F55" s="80"/>
      <c r="G55" s="1"/>
    </row>
    <row r="56" spans="1:7" x14ac:dyDescent="0.2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 x14ac:dyDescent="0.2">
      <c r="A57" s="1"/>
      <c r="B57" s="73" t="s">
        <v>144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 x14ac:dyDescent="0.2">
      <c r="A58" s="1"/>
      <c r="B58" s="76" t="s">
        <v>145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 x14ac:dyDescent="0.2">
      <c r="A59" s="1"/>
      <c r="B59" s="74" t="s">
        <v>98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 x14ac:dyDescent="0.2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 x14ac:dyDescent="0.2">
      <c r="A61" s="1"/>
      <c r="B61" s="69" t="s">
        <v>127</v>
      </c>
      <c r="C61" s="5"/>
      <c r="D61" s="15"/>
      <c r="E61" s="5"/>
      <c r="F61" s="79"/>
      <c r="G61" s="1"/>
    </row>
    <row r="62" spans="1:7" x14ac:dyDescent="0.2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 x14ac:dyDescent="0.2">
      <c r="A63" s="1"/>
      <c r="B63" s="84" t="s">
        <v>124</v>
      </c>
      <c r="C63" s="38"/>
      <c r="D63" s="36"/>
      <c r="E63" s="38"/>
      <c r="F63" s="75" t="e">
        <f>E62</f>
        <v>#REF!</v>
      </c>
      <c r="G63" s="1"/>
    </row>
    <row r="64" spans="1:7" x14ac:dyDescent="0.2">
      <c r="A64" s="5"/>
      <c r="B64" s="69"/>
      <c r="C64" s="37"/>
      <c r="D64" s="34"/>
      <c r="E64" s="37"/>
      <c r="F64" s="85"/>
      <c r="G64" s="1"/>
    </row>
    <row r="65" spans="1:7" x14ac:dyDescent="0.2">
      <c r="A65" s="5"/>
      <c r="B65" s="71" t="s">
        <v>139</v>
      </c>
      <c r="C65" s="38"/>
      <c r="D65" s="36"/>
      <c r="E65" s="38"/>
      <c r="F65" s="86" t="e">
        <f>SUM(F42:F63)</f>
        <v>#REF!</v>
      </c>
      <c r="G65" s="1"/>
    </row>
    <row r="66" spans="1:7" x14ac:dyDescent="0.2">
      <c r="A66" s="5"/>
      <c r="B66" s="37"/>
      <c r="C66" s="5"/>
      <c r="D66" s="34"/>
      <c r="E66" s="37"/>
      <c r="F66" s="37"/>
      <c r="G66" s="1"/>
    </row>
    <row r="67" spans="1:7" x14ac:dyDescent="0.2">
      <c r="A67" s="5"/>
      <c r="B67" s="21"/>
      <c r="C67" s="5"/>
      <c r="D67" s="15"/>
      <c r="E67" s="21"/>
      <c r="F67" s="6"/>
      <c r="G67" s="1"/>
    </row>
    <row r="68" spans="1:7" x14ac:dyDescent="0.2">
      <c r="A68" s="1"/>
      <c r="B68" s="78" t="s">
        <v>9</v>
      </c>
      <c r="C68" s="42"/>
      <c r="D68" s="43"/>
      <c r="E68" s="42"/>
      <c r="F68" s="68"/>
      <c r="G68" s="1"/>
    </row>
    <row r="69" spans="1:7" x14ac:dyDescent="0.2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 x14ac:dyDescent="0.2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 x14ac:dyDescent="0.2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 x14ac:dyDescent="0.2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 x14ac:dyDescent="0.2">
      <c r="A73" s="1"/>
      <c r="B73" s="78" t="s">
        <v>10</v>
      </c>
      <c r="C73" s="42"/>
      <c r="D73" s="43"/>
      <c r="E73" s="42"/>
      <c r="F73" s="68"/>
      <c r="G73" s="1"/>
    </row>
    <row r="74" spans="1:7" x14ac:dyDescent="0.2">
      <c r="A74" s="1"/>
      <c r="B74" s="91" t="s">
        <v>95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 x14ac:dyDescent="0.2">
      <c r="A75" s="1"/>
      <c r="B75" s="91" t="s">
        <v>96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 x14ac:dyDescent="0.2">
      <c r="A76" s="1"/>
      <c r="B76" s="73" t="s">
        <v>99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 x14ac:dyDescent="0.2">
      <c r="A77" s="1"/>
      <c r="B77" s="74" t="s">
        <v>100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 x14ac:dyDescent="0.2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 x14ac:dyDescent="0.2">
      <c r="A79" s="1"/>
      <c r="B79" s="76" t="s">
        <v>125</v>
      </c>
      <c r="C79" s="5">
        <v>0</v>
      </c>
      <c r="D79" s="15"/>
      <c r="E79" s="5"/>
      <c r="F79" s="79">
        <f>C79</f>
        <v>0</v>
      </c>
      <c r="G79" s="1"/>
    </row>
    <row r="80" spans="1:7" x14ac:dyDescent="0.2">
      <c r="A80" s="1"/>
      <c r="B80" s="74"/>
      <c r="C80" s="3"/>
      <c r="D80" s="14"/>
      <c r="E80" s="3"/>
      <c r="F80" s="72"/>
      <c r="G80" s="1"/>
    </row>
    <row r="81" spans="1:7" x14ac:dyDescent="0.2">
      <c r="A81" s="1"/>
      <c r="B81" s="41"/>
      <c r="C81" s="42"/>
      <c r="D81" s="43"/>
      <c r="E81" s="42"/>
      <c r="F81" s="42"/>
      <c r="G81" s="1"/>
    </row>
    <row r="82" spans="1:7" x14ac:dyDescent="0.2">
      <c r="A82" s="1"/>
      <c r="B82" s="78"/>
      <c r="C82" s="42"/>
      <c r="D82" s="46"/>
      <c r="E82" s="42"/>
      <c r="F82" s="101"/>
      <c r="G82" s="1"/>
    </row>
    <row r="83" spans="1:7" x14ac:dyDescent="0.2">
      <c r="A83" s="1"/>
      <c r="B83" s="69" t="s">
        <v>126</v>
      </c>
      <c r="C83" s="5"/>
      <c r="D83" s="26"/>
      <c r="E83" s="5"/>
      <c r="F83" s="79" t="e">
        <f>F46+F50+F54+F60+F63+F72+F78+F79</f>
        <v>#REF!</v>
      </c>
      <c r="G83" s="1"/>
    </row>
    <row r="84" spans="1:7" x14ac:dyDescent="0.2">
      <c r="A84" s="1"/>
      <c r="B84" s="84"/>
      <c r="C84" s="9"/>
      <c r="D84" s="47"/>
      <c r="E84" s="9"/>
      <c r="F84" s="75"/>
      <c r="G84" s="1"/>
    </row>
    <row r="85" spans="1:7" x14ac:dyDescent="0.2">
      <c r="A85" s="1"/>
      <c r="G85" s="1"/>
    </row>
    <row r="87" spans="1:7" x14ac:dyDescent="0.2">
      <c r="B87" s="78" t="s">
        <v>26</v>
      </c>
      <c r="C87" s="50"/>
      <c r="D87" s="50"/>
      <c r="E87" s="50"/>
      <c r="F87" s="50"/>
      <c r="G87" s="87"/>
    </row>
    <row r="88" spans="1:7" x14ac:dyDescent="0.2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 x14ac:dyDescent="0.2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 x14ac:dyDescent="0.2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 x14ac:dyDescent="0.2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 x14ac:dyDescent="0.2">
      <c r="B92" s="76"/>
      <c r="C92" s="51"/>
      <c r="D92" s="52"/>
      <c r="E92" s="17"/>
      <c r="F92" s="17"/>
      <c r="G92" s="88"/>
    </row>
    <row r="93" spans="1:7" x14ac:dyDescent="0.2">
      <c r="B93" s="78" t="s">
        <v>6</v>
      </c>
      <c r="C93" s="48"/>
      <c r="D93" s="49"/>
      <c r="E93" s="50"/>
      <c r="F93" s="50"/>
      <c r="G93" s="87"/>
    </row>
    <row r="94" spans="1:7" x14ac:dyDescent="0.2">
      <c r="B94" s="73" t="s">
        <v>93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 x14ac:dyDescent="0.2">
      <c r="B95" s="74" t="s">
        <v>105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 x14ac:dyDescent="0.2">
      <c r="B96" s="73"/>
      <c r="C96" s="51"/>
      <c r="D96" s="52"/>
      <c r="E96" s="17"/>
      <c r="F96" s="17"/>
      <c r="G96" s="88"/>
    </row>
    <row r="97" spans="2:7" x14ac:dyDescent="0.2">
      <c r="B97" s="78" t="s">
        <v>7</v>
      </c>
      <c r="C97" s="48"/>
      <c r="D97" s="49"/>
      <c r="E97" s="50"/>
      <c r="F97" s="50"/>
      <c r="G97" s="87"/>
    </row>
    <row r="98" spans="2:7" x14ac:dyDescent="0.2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 x14ac:dyDescent="0.2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 x14ac:dyDescent="0.2">
      <c r="B100" s="73"/>
      <c r="C100" s="51"/>
      <c r="D100" s="52"/>
      <c r="E100" s="17"/>
      <c r="F100" s="17"/>
      <c r="G100" s="88"/>
    </row>
    <row r="101" spans="2:7" x14ac:dyDescent="0.2">
      <c r="B101" s="78" t="s">
        <v>118</v>
      </c>
      <c r="C101" s="48"/>
      <c r="D101" s="49"/>
      <c r="E101" s="50"/>
      <c r="F101" s="50"/>
      <c r="G101" s="87"/>
    </row>
    <row r="102" spans="2:7" x14ac:dyDescent="0.2">
      <c r="B102" s="73" t="s">
        <v>119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 x14ac:dyDescent="0.2">
      <c r="B103" s="73" t="s">
        <v>148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 x14ac:dyDescent="0.2">
      <c r="B104" s="73" t="s">
        <v>147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 x14ac:dyDescent="0.2">
      <c r="B105" s="73" t="s">
        <v>120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 x14ac:dyDescent="0.2">
      <c r="B106" s="74" t="s">
        <v>121</v>
      </c>
      <c r="C106" s="14">
        <v>0</v>
      </c>
      <c r="D106" s="30"/>
      <c r="E106" s="9"/>
      <c r="F106" s="9"/>
      <c r="G106" s="75"/>
    </row>
    <row r="107" spans="2:7" x14ac:dyDescent="0.2">
      <c r="B107" s="73"/>
      <c r="C107" s="15"/>
      <c r="D107" s="52"/>
      <c r="E107" s="17"/>
      <c r="F107" s="17"/>
      <c r="G107" s="88"/>
    </row>
    <row r="108" spans="2:7" x14ac:dyDescent="0.2">
      <c r="B108" s="78" t="s">
        <v>97</v>
      </c>
      <c r="C108" s="43"/>
      <c r="D108" s="49"/>
      <c r="E108" s="50"/>
      <c r="F108" s="50"/>
      <c r="G108" s="87"/>
    </row>
    <row r="109" spans="2:7" x14ac:dyDescent="0.2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 x14ac:dyDescent="0.2">
      <c r="B110" s="73" t="s">
        <v>144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 x14ac:dyDescent="0.2">
      <c r="B111" s="76" t="s">
        <v>145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 x14ac:dyDescent="0.2">
      <c r="B112" s="74" t="s">
        <v>98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 x14ac:dyDescent="0.2">
      <c r="B113" s="73"/>
      <c r="C113" s="15"/>
      <c r="D113" s="52"/>
      <c r="E113" s="17"/>
      <c r="F113" s="17"/>
      <c r="G113" s="88"/>
    </row>
    <row r="114" spans="2:7" x14ac:dyDescent="0.2">
      <c r="B114" s="78" t="s">
        <v>9</v>
      </c>
      <c r="C114" s="43"/>
      <c r="D114" s="49"/>
      <c r="E114" s="50"/>
      <c r="F114" s="50"/>
      <c r="G114" s="87"/>
    </row>
    <row r="115" spans="2:7" x14ac:dyDescent="0.2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 x14ac:dyDescent="0.2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 x14ac:dyDescent="0.2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 x14ac:dyDescent="0.2">
      <c r="B118" s="76"/>
      <c r="C118" s="15"/>
      <c r="D118" s="54"/>
      <c r="E118" s="17"/>
      <c r="F118" s="17"/>
      <c r="G118" s="88"/>
    </row>
    <row r="119" spans="2:7" x14ac:dyDescent="0.2">
      <c r="B119" s="78" t="s">
        <v>10</v>
      </c>
      <c r="C119" s="43"/>
      <c r="D119" s="49"/>
      <c r="E119" s="50"/>
      <c r="F119" s="50"/>
      <c r="G119" s="87"/>
    </row>
    <row r="120" spans="2:7" x14ac:dyDescent="0.2">
      <c r="B120" s="91" t="s">
        <v>95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 x14ac:dyDescent="0.2">
      <c r="B121" s="91" t="s">
        <v>96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 x14ac:dyDescent="0.2">
      <c r="B122" s="73" t="s">
        <v>99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 x14ac:dyDescent="0.2">
      <c r="B123" s="74" t="s">
        <v>100</v>
      </c>
      <c r="C123" s="14">
        <v>0</v>
      </c>
      <c r="D123" s="30"/>
      <c r="E123" s="9"/>
      <c r="F123" s="9"/>
      <c r="G123" s="75"/>
    </row>
    <row r="124" spans="2:7" x14ac:dyDescent="0.2">
      <c r="B124" s="73"/>
      <c r="C124" s="15"/>
      <c r="D124" s="52"/>
      <c r="E124" s="17"/>
      <c r="F124" s="17"/>
      <c r="G124" s="88"/>
    </row>
    <row r="125" spans="2:7" x14ac:dyDescent="0.2">
      <c r="B125" s="78" t="s">
        <v>11</v>
      </c>
      <c r="C125" s="43"/>
      <c r="D125" s="49"/>
      <c r="E125" s="50"/>
      <c r="F125" s="50"/>
      <c r="G125" s="87"/>
    </row>
    <row r="126" spans="2:7" x14ac:dyDescent="0.2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 x14ac:dyDescent="0.2">
      <c r="B127" s="73" t="s">
        <v>106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 x14ac:dyDescent="0.2">
      <c r="B128" s="102" t="s">
        <v>107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 x14ac:dyDescent="0.2">
      <c r="B129" s="91"/>
      <c r="C129" s="15"/>
      <c r="D129" s="52"/>
      <c r="E129" s="17"/>
      <c r="F129" s="17"/>
      <c r="G129" s="88"/>
    </row>
    <row r="130" spans="2:10" x14ac:dyDescent="0.2">
      <c r="B130" s="78" t="s">
        <v>12</v>
      </c>
      <c r="C130" s="43"/>
      <c r="D130" s="49"/>
      <c r="E130" s="50"/>
      <c r="F130" s="50"/>
      <c r="G130" s="87"/>
    </row>
    <row r="131" spans="2:10" x14ac:dyDescent="0.2">
      <c r="B131" s="73" t="s">
        <v>101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 x14ac:dyDescent="0.2">
      <c r="B132" s="73" t="s">
        <v>102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 x14ac:dyDescent="0.2">
      <c r="B133" s="76" t="s">
        <v>103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 x14ac:dyDescent="0.2">
      <c r="B134" s="76" t="s">
        <v>104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 x14ac:dyDescent="0.2">
      <c r="B135" s="84" t="s">
        <v>108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 x14ac:dyDescent="0.2">
      <c r="B136" s="69"/>
      <c r="C136" s="15"/>
      <c r="D136" s="52"/>
      <c r="E136" s="17"/>
      <c r="F136" s="17"/>
      <c r="G136" s="88"/>
    </row>
    <row r="137" spans="2:10" x14ac:dyDescent="0.2">
      <c r="B137" s="73"/>
      <c r="C137" s="15"/>
      <c r="D137" s="52"/>
      <c r="E137" s="17"/>
      <c r="F137" s="17"/>
      <c r="G137" s="88"/>
    </row>
    <row r="138" spans="2:10" x14ac:dyDescent="0.2">
      <c r="B138" s="103" t="s">
        <v>109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 x14ac:dyDescent="0.2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 x14ac:dyDescent="0.2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 x14ac:dyDescent="0.2">
      <c r="B141" s="5"/>
      <c r="H141" s="5" t="s">
        <v>58</v>
      </c>
    </row>
    <row r="142" spans="2:10" x14ac:dyDescent="0.2">
      <c r="B142" s="3"/>
      <c r="F142" s="11"/>
      <c r="G142" s="11"/>
      <c r="H142" s="3"/>
    </row>
    <row r="143" spans="2:10" x14ac:dyDescent="0.2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 x14ac:dyDescent="0.2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 x14ac:dyDescent="0.2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 x14ac:dyDescent="0.2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 x14ac:dyDescent="0.2">
      <c r="C147" s="2" t="e">
        <f>SUM(C143:C146)</f>
        <v>#REF!</v>
      </c>
      <c r="I147" s="20" t="e">
        <f>SUM(I143:I146)</f>
        <v>#REF!</v>
      </c>
    </row>
    <row r="148" spans="2:10" x14ac:dyDescent="0.2">
      <c r="B148" s="16"/>
      <c r="C148" s="17"/>
      <c r="D148" s="17"/>
      <c r="E148" s="17"/>
      <c r="F148" s="17"/>
      <c r="G148" s="17"/>
      <c r="H148" s="17"/>
      <c r="I148" s="17"/>
    </row>
    <row r="149" spans="2:10" ht="14.25" x14ac:dyDescent="0.2">
      <c r="B149" s="29" t="s">
        <v>126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 x14ac:dyDescent="0.2">
      <c r="B151" s="78" t="s">
        <v>43</v>
      </c>
      <c r="C151" s="50"/>
      <c r="D151" s="50"/>
      <c r="E151" s="50"/>
      <c r="F151" s="41" t="s">
        <v>130</v>
      </c>
      <c r="G151" s="87"/>
    </row>
    <row r="152" spans="2:10" x14ac:dyDescent="0.2">
      <c r="B152" s="69" t="s">
        <v>4</v>
      </c>
      <c r="C152" s="59" t="s">
        <v>27</v>
      </c>
      <c r="D152" s="6" t="s">
        <v>135</v>
      </c>
      <c r="E152" s="6" t="s">
        <v>29</v>
      </c>
      <c r="F152" s="6" t="s">
        <v>30</v>
      </c>
      <c r="G152" s="79" t="s">
        <v>31</v>
      </c>
    </row>
    <row r="153" spans="2:10" x14ac:dyDescent="0.2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 x14ac:dyDescent="0.2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 x14ac:dyDescent="0.2">
      <c r="B155" s="73"/>
      <c r="C155" s="51"/>
      <c r="D155" s="51"/>
      <c r="E155" s="17"/>
      <c r="F155" s="52"/>
      <c r="G155" s="108"/>
    </row>
    <row r="156" spans="2:10" x14ac:dyDescent="0.2">
      <c r="B156" s="69" t="s">
        <v>6</v>
      </c>
      <c r="C156" s="51"/>
      <c r="D156" s="51"/>
      <c r="E156" s="17"/>
      <c r="F156" s="52"/>
      <c r="G156" s="108"/>
    </row>
    <row r="157" spans="2:10" x14ac:dyDescent="0.2">
      <c r="B157" s="73" t="s">
        <v>110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 x14ac:dyDescent="0.2">
      <c r="B158" s="73"/>
      <c r="C158" s="51"/>
      <c r="D158" s="51"/>
      <c r="E158" s="17"/>
      <c r="F158" s="52"/>
      <c r="G158" s="108"/>
    </row>
    <row r="159" spans="2:10" x14ac:dyDescent="0.2">
      <c r="B159" s="69" t="s">
        <v>136</v>
      </c>
      <c r="C159" s="51"/>
      <c r="D159" s="51"/>
      <c r="E159" s="17"/>
      <c r="F159" s="52"/>
      <c r="G159" s="108"/>
    </row>
    <row r="160" spans="2:10" x14ac:dyDescent="0.2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 x14ac:dyDescent="0.2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 x14ac:dyDescent="0.2">
      <c r="B162" s="73"/>
      <c r="C162" s="51"/>
      <c r="D162" s="51"/>
      <c r="E162" s="17"/>
      <c r="F162" s="52"/>
      <c r="G162" s="108"/>
    </row>
    <row r="163" spans="2:7" x14ac:dyDescent="0.2">
      <c r="B163" s="69" t="s">
        <v>8</v>
      </c>
      <c r="C163" s="51"/>
      <c r="D163" s="51"/>
      <c r="E163" s="17"/>
      <c r="F163" s="52"/>
      <c r="G163" s="108"/>
    </row>
    <row r="164" spans="2:7" x14ac:dyDescent="0.2">
      <c r="B164" s="76" t="s">
        <v>110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 x14ac:dyDescent="0.2">
      <c r="B165" s="73"/>
      <c r="C165" s="51"/>
      <c r="D165" s="51"/>
      <c r="E165" s="17"/>
      <c r="F165" s="52"/>
      <c r="G165" s="108"/>
    </row>
    <row r="166" spans="2:7" x14ac:dyDescent="0.2">
      <c r="B166" s="69" t="s">
        <v>16</v>
      </c>
      <c r="C166" s="51"/>
      <c r="D166" s="51"/>
      <c r="E166" s="17"/>
      <c r="F166" s="52"/>
      <c r="G166" s="108"/>
    </row>
    <row r="167" spans="2:7" x14ac:dyDescent="0.2">
      <c r="B167" s="91" t="s">
        <v>110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 x14ac:dyDescent="0.2">
      <c r="B168" s="73"/>
      <c r="C168" s="51"/>
      <c r="D168" s="51"/>
      <c r="E168" s="17"/>
      <c r="F168" s="52"/>
      <c r="G168" s="108"/>
    </row>
    <row r="169" spans="2:7" x14ac:dyDescent="0.2">
      <c r="B169" s="69" t="s">
        <v>10</v>
      </c>
      <c r="C169" s="51"/>
      <c r="D169" s="51"/>
      <c r="E169" s="17"/>
      <c r="F169" s="52"/>
      <c r="G169" s="108"/>
    </row>
    <row r="170" spans="2:7" x14ac:dyDescent="0.2">
      <c r="B170" s="91" t="s">
        <v>110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 x14ac:dyDescent="0.2">
      <c r="B171" s="73"/>
      <c r="C171" s="51"/>
      <c r="D171" s="51"/>
      <c r="E171" s="17"/>
      <c r="F171" s="52"/>
      <c r="G171" s="108"/>
    </row>
    <row r="172" spans="2:7" x14ac:dyDescent="0.2">
      <c r="B172" s="69" t="s">
        <v>11</v>
      </c>
      <c r="C172" s="51"/>
      <c r="D172" s="51"/>
      <c r="E172" s="17"/>
      <c r="F172" s="52"/>
      <c r="G172" s="108"/>
    </row>
    <row r="173" spans="2:7" x14ac:dyDescent="0.2">
      <c r="B173" s="91" t="s">
        <v>110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 x14ac:dyDescent="0.2">
      <c r="B174" s="73"/>
      <c r="C174" s="60"/>
      <c r="D174" s="51"/>
      <c r="E174" s="17"/>
      <c r="F174" s="52"/>
      <c r="G174" s="108"/>
    </row>
    <row r="175" spans="2:7" x14ac:dyDescent="0.2">
      <c r="B175" s="69" t="s">
        <v>12</v>
      </c>
      <c r="C175" s="51"/>
      <c r="D175" s="51"/>
      <c r="E175" s="17"/>
      <c r="F175" s="52"/>
      <c r="G175" s="108"/>
    </row>
    <row r="176" spans="2:7" x14ac:dyDescent="0.2">
      <c r="B176" s="73" t="s">
        <v>110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 x14ac:dyDescent="0.2">
      <c r="B177" s="73"/>
      <c r="C177" s="51"/>
      <c r="D177" s="51"/>
      <c r="E177" s="17"/>
      <c r="F177" s="52"/>
      <c r="G177" s="108"/>
    </row>
    <row r="178" spans="2:7" x14ac:dyDescent="0.2">
      <c r="B178" s="69" t="s">
        <v>111</v>
      </c>
      <c r="C178" s="51"/>
      <c r="D178" s="51"/>
      <c r="E178" s="17"/>
      <c r="F178" s="52"/>
      <c r="G178" s="108"/>
    </row>
    <row r="179" spans="2:7" x14ac:dyDescent="0.2">
      <c r="B179" s="73" t="s">
        <v>110</v>
      </c>
      <c r="C179" s="51">
        <v>824</v>
      </c>
      <c r="D179" s="48">
        <f>C179*1.06</f>
        <v>873.44</v>
      </c>
      <c r="E179" s="17"/>
      <c r="F179" s="52"/>
      <c r="G179" s="108"/>
    </row>
    <row r="180" spans="2:7" x14ac:dyDescent="0.2">
      <c r="B180" s="73"/>
      <c r="C180" s="60"/>
      <c r="D180" s="51"/>
      <c r="E180" s="17"/>
      <c r="F180" s="52"/>
      <c r="G180" s="108"/>
    </row>
    <row r="181" spans="2:7" x14ac:dyDescent="0.2">
      <c r="B181" s="69" t="s">
        <v>112</v>
      </c>
      <c r="C181" s="60"/>
      <c r="D181" s="51"/>
      <c r="E181" s="17"/>
      <c r="F181" s="52"/>
      <c r="G181" s="108"/>
    </row>
    <row r="182" spans="2:7" x14ac:dyDescent="0.2">
      <c r="B182" s="73" t="s">
        <v>110</v>
      </c>
      <c r="C182" s="51">
        <v>206</v>
      </c>
      <c r="D182" s="48">
        <f>C182*1.06</f>
        <v>218.36</v>
      </c>
      <c r="E182" s="17"/>
      <c r="F182" s="52"/>
      <c r="G182" s="108"/>
    </row>
    <row r="183" spans="2:7" x14ac:dyDescent="0.2">
      <c r="B183" s="73"/>
      <c r="C183" s="60"/>
      <c r="D183" s="51"/>
      <c r="E183" s="17"/>
      <c r="F183" s="52"/>
      <c r="G183" s="108"/>
    </row>
    <row r="184" spans="2:7" x14ac:dyDescent="0.2">
      <c r="B184" s="69" t="s">
        <v>113</v>
      </c>
      <c r="C184" s="60"/>
      <c r="D184" s="51"/>
      <c r="E184" s="17"/>
      <c r="F184" s="52"/>
      <c r="G184" s="108"/>
    </row>
    <row r="185" spans="2:7" x14ac:dyDescent="0.2">
      <c r="B185" s="73" t="s">
        <v>110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 x14ac:dyDescent="0.2">
      <c r="B186" s="73"/>
      <c r="C186" s="60"/>
      <c r="D186" s="51"/>
      <c r="E186" s="17"/>
      <c r="F186" s="52"/>
      <c r="G186" s="108"/>
    </row>
    <row r="187" spans="2:7" x14ac:dyDescent="0.2">
      <c r="B187" s="69" t="s">
        <v>114</v>
      </c>
      <c r="C187" s="60"/>
      <c r="D187" s="51"/>
      <c r="E187" s="17"/>
      <c r="F187" s="52"/>
      <c r="G187" s="108"/>
    </row>
    <row r="188" spans="2:7" x14ac:dyDescent="0.2">
      <c r="B188" s="73" t="s">
        <v>110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 x14ac:dyDescent="0.2">
      <c r="B189" s="73"/>
      <c r="C189" s="60"/>
      <c r="D189" s="51"/>
      <c r="E189" s="17"/>
      <c r="F189" s="52"/>
      <c r="G189" s="108"/>
    </row>
    <row r="190" spans="2:7" x14ac:dyDescent="0.2">
      <c r="B190" s="69" t="s">
        <v>115</v>
      </c>
      <c r="C190" s="60"/>
      <c r="D190" s="51"/>
      <c r="E190" s="17"/>
      <c r="F190" s="52"/>
      <c r="G190" s="108"/>
    </row>
    <row r="191" spans="2:7" x14ac:dyDescent="0.2">
      <c r="B191" s="73" t="s">
        <v>110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 x14ac:dyDescent="0.2">
      <c r="B192" s="73"/>
      <c r="C192" s="60"/>
      <c r="D192" s="51"/>
      <c r="E192" s="17"/>
      <c r="F192" s="52"/>
      <c r="G192" s="108"/>
    </row>
    <row r="193" spans="2:9" x14ac:dyDescent="0.2">
      <c r="B193" s="69" t="s">
        <v>116</v>
      </c>
      <c r="C193" s="60"/>
      <c r="D193" s="51"/>
      <c r="E193" s="17"/>
      <c r="F193" s="52"/>
      <c r="G193" s="108"/>
    </row>
    <row r="194" spans="2:9" x14ac:dyDescent="0.2">
      <c r="B194" s="73" t="s">
        <v>110</v>
      </c>
      <c r="C194" s="51">
        <v>229</v>
      </c>
      <c r="D194" s="117">
        <f>C194*1.06</f>
        <v>242.74</v>
      </c>
      <c r="E194" s="17"/>
      <c r="F194" s="52"/>
      <c r="G194" s="108"/>
    </row>
    <row r="195" spans="2:9" x14ac:dyDescent="0.2">
      <c r="B195" s="73"/>
      <c r="C195" s="51"/>
      <c r="D195" s="51"/>
      <c r="E195" s="17"/>
      <c r="F195" s="52"/>
      <c r="G195" s="108"/>
    </row>
    <row r="196" spans="2:9" x14ac:dyDescent="0.2">
      <c r="B196" s="69" t="s">
        <v>117</v>
      </c>
      <c r="C196" s="51"/>
      <c r="D196" s="51"/>
      <c r="E196" s="17"/>
      <c r="F196" s="52"/>
      <c r="G196" s="108"/>
    </row>
    <row r="197" spans="2:9" x14ac:dyDescent="0.2">
      <c r="B197" s="74" t="s">
        <v>110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 x14ac:dyDescent="0.2">
      <c r="B198" s="90"/>
      <c r="C198" s="110"/>
      <c r="D198" s="15"/>
      <c r="E198" s="17"/>
      <c r="F198" s="17"/>
      <c r="G198" s="88"/>
    </row>
    <row r="199" spans="2:9" x14ac:dyDescent="0.2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 x14ac:dyDescent="0.2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 x14ac:dyDescent="0.2">
      <c r="B201" s="5"/>
    </row>
    <row r="202" spans="2:9" x14ac:dyDescent="0.2">
      <c r="B202" s="3"/>
      <c r="F202" s="11"/>
    </row>
    <row r="203" spans="2:9" x14ac:dyDescent="0.2">
      <c r="B203">
        <v>1</v>
      </c>
      <c r="C203" s="13" t="e">
        <f>IF(AND(F199&lt;$C$200,G199&lt;$D$200),0,0)</f>
        <v>#REF!</v>
      </c>
    </row>
    <row r="204" spans="2:9" x14ac:dyDescent="0.2">
      <c r="B204">
        <v>2</v>
      </c>
      <c r="C204" t="e">
        <f>IF(AND(F199&lt;C200,G199&gt;D200),(D200-F199),0)</f>
        <v>#REF!</v>
      </c>
      <c r="D204" t="s">
        <v>35</v>
      </c>
    </row>
    <row r="205" spans="2:9" x14ac:dyDescent="0.2">
      <c r="B205">
        <v>3</v>
      </c>
      <c r="C205" t="e">
        <f>IF(AND(F199&gt;C200,G199&gt;D200),(D200-C200),0)</f>
        <v>#REF!</v>
      </c>
      <c r="D205" t="s">
        <v>36</v>
      </c>
    </row>
    <row r="206" spans="2:9" x14ac:dyDescent="0.2">
      <c r="B206" s="9">
        <v>4</v>
      </c>
      <c r="C206" s="9" t="e">
        <f>IF(AND(F199&gt;C200,G199&lt;D200),(G199-$C$200),0)</f>
        <v>#REF!</v>
      </c>
      <c r="D206" t="s">
        <v>37</v>
      </c>
    </row>
    <row r="207" spans="2:9" x14ac:dyDescent="0.2">
      <c r="C207" s="2" t="e">
        <f>SUM(C203:C206)</f>
        <v>#REF!</v>
      </c>
    </row>
    <row r="208" spans="2:9" x14ac:dyDescent="0.2">
      <c r="C208" s="2"/>
    </row>
    <row r="209" spans="2:4" x14ac:dyDescent="0.2">
      <c r="C209" s="2"/>
    </row>
    <row r="210" spans="2:4" ht="15" x14ac:dyDescent="0.25">
      <c r="B210" s="63" t="s">
        <v>131</v>
      </c>
      <c r="C210" s="2"/>
      <c r="D210" s="20" t="e">
        <f>E282</f>
        <v>#REF!</v>
      </c>
    </row>
    <row r="211" spans="2:4" x14ac:dyDescent="0.2">
      <c r="C211" s="2"/>
    </row>
    <row r="212" spans="2:4" x14ac:dyDescent="0.2">
      <c r="C212" s="2"/>
    </row>
    <row r="213" spans="2:4" x14ac:dyDescent="0.2">
      <c r="C213" s="2"/>
    </row>
    <row r="214" spans="2:4" x14ac:dyDescent="0.2">
      <c r="B214" s="2" t="s">
        <v>72</v>
      </c>
    </row>
    <row r="216" spans="2:4" x14ac:dyDescent="0.2">
      <c r="B216" t="s">
        <v>73</v>
      </c>
      <c r="C216" s="1" t="e">
        <f>IF(AND(#REF!=2,#REF!&lt;6),-12500,IF(AND(#REF!&gt;2,#REF!&lt;6),-19000,IF(AND(#REF!&lt;2,#REF!&lt;6),IF(#REF!&gt;5,4000,#REF!*800),0)))</f>
        <v>#REF!</v>
      </c>
    </row>
    <row r="217" spans="2:4" x14ac:dyDescent="0.2">
      <c r="B217" t="s">
        <v>74</v>
      </c>
      <c r="C217" s="1" t="e">
        <f>IF(AND(#REF!=2,#REF!&gt;5),-12800,IF(AND(#REF!&gt;2,#REF!&gt;5),-18100,IF(AND(#REF!&lt;2,#REF!&gt;5),IF(#REF!&gt;5,4000,#REF!*800),0)))</f>
        <v>#REF!</v>
      </c>
    </row>
    <row r="218" spans="2:4" x14ac:dyDescent="0.2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 x14ac:dyDescent="0.2">
      <c r="C219" s="2" t="e">
        <f>IF(C218&gt;0,C218,IF(C218&lt;0,C218,IF(C217&gt;0,C217,IF(C217&lt;0,C217,C216))))</f>
        <v>#REF!</v>
      </c>
    </row>
    <row r="220" spans="2:4" x14ac:dyDescent="0.2">
      <c r="B220" t="s">
        <v>75</v>
      </c>
      <c r="C220" t="e">
        <f>IF(#REF!&gt;49,5000,IF(#REF!&gt;5,#REF!*100,0))</f>
        <v>#REF!</v>
      </c>
    </row>
    <row r="221" spans="2:4" x14ac:dyDescent="0.2">
      <c r="C221" s="2" t="e">
        <f>IF(C219&gt;0,C219,IF(C219&lt;0,C219,C220))</f>
        <v>#REF!</v>
      </c>
    </row>
    <row r="222" spans="2:4" x14ac:dyDescent="0.2">
      <c r="B222" t="s">
        <v>76</v>
      </c>
      <c r="C222" s="64" t="e">
        <f>IF(#REF!&gt;50,0,IF(#REF!&lt;10,0,(#REF!*0)))</f>
        <v>#REF!</v>
      </c>
    </row>
    <row r="223" spans="2:4" x14ac:dyDescent="0.2">
      <c r="C223" s="31" t="e">
        <f>IF(C221&gt;0,C221,IF(C221&lt;0,C221,C222))</f>
        <v>#REF!</v>
      </c>
      <c r="D223" t="s">
        <v>77</v>
      </c>
    </row>
    <row r="225" spans="1:34" x14ac:dyDescent="0.2">
      <c r="F225" s="2"/>
    </row>
    <row r="230" spans="1:34" ht="16.5" customHeight="1" x14ac:dyDescent="0.25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 x14ac:dyDescent="0.25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 x14ac:dyDescent="0.25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 x14ac:dyDescent="0.25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 x14ac:dyDescent="0.25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 x14ac:dyDescent="0.25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 x14ac:dyDescent="0.25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 x14ac:dyDescent="0.2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 x14ac:dyDescent="0.2">
      <c r="A242" s="78" t="s">
        <v>46</v>
      </c>
      <c r="B242" s="42"/>
      <c r="C242" s="50"/>
      <c r="D242" s="50"/>
      <c r="E242" s="87"/>
    </row>
    <row r="243" spans="1:5" x14ac:dyDescent="0.2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 x14ac:dyDescent="0.2">
      <c r="A244" s="71" t="s">
        <v>4</v>
      </c>
      <c r="B244" s="5"/>
      <c r="C244" s="17"/>
      <c r="D244" s="17"/>
      <c r="E244" s="88"/>
    </row>
    <row r="245" spans="1:5" x14ac:dyDescent="0.2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 x14ac:dyDescent="0.2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 x14ac:dyDescent="0.2">
      <c r="A247" s="90"/>
      <c r="B247" s="5"/>
      <c r="C247" s="52"/>
      <c r="D247" s="54"/>
      <c r="E247" s="88"/>
    </row>
    <row r="248" spans="1:5" x14ac:dyDescent="0.2">
      <c r="A248" s="90"/>
      <c r="B248" s="5"/>
      <c r="C248" s="52"/>
      <c r="D248" s="54"/>
      <c r="E248" s="88"/>
    </row>
    <row r="249" spans="1:5" x14ac:dyDescent="0.2">
      <c r="A249" s="69" t="s">
        <v>6</v>
      </c>
      <c r="B249" s="5"/>
      <c r="C249" s="17"/>
      <c r="D249" s="54"/>
      <c r="E249" s="88"/>
    </row>
    <row r="250" spans="1:5" x14ac:dyDescent="0.2">
      <c r="A250" s="73" t="s">
        <v>110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 x14ac:dyDescent="0.2">
      <c r="A251" s="73"/>
      <c r="B251" s="5"/>
      <c r="C251" s="52"/>
      <c r="D251" s="54"/>
      <c r="E251" s="89" t="e">
        <f>SUM(D250:D252)</f>
        <v>#REF!</v>
      </c>
    </row>
    <row r="252" spans="1:5" x14ac:dyDescent="0.2">
      <c r="A252" s="74"/>
      <c r="B252" s="5"/>
      <c r="C252" s="52"/>
      <c r="D252" s="54"/>
      <c r="E252" s="88"/>
    </row>
    <row r="253" spans="1:5" x14ac:dyDescent="0.2">
      <c r="A253" s="69" t="s">
        <v>137</v>
      </c>
      <c r="B253" s="5"/>
      <c r="C253" s="52"/>
      <c r="D253" s="54"/>
      <c r="E253" s="88"/>
    </row>
    <row r="254" spans="1:5" x14ac:dyDescent="0.2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 x14ac:dyDescent="0.2">
      <c r="A255" s="74" t="s">
        <v>45</v>
      </c>
      <c r="B255" s="5" t="e">
        <f>IF(#REF!&lt;41,0,#REF!-Satser!#REF!)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 x14ac:dyDescent="0.2">
      <c r="A256" s="73"/>
      <c r="B256" s="5"/>
      <c r="C256" s="52"/>
      <c r="D256" s="54"/>
      <c r="E256" s="89" t="e">
        <f>SUM(D254:D255)</f>
        <v>#REF!</v>
      </c>
    </row>
    <row r="257" spans="1:5" x14ac:dyDescent="0.2">
      <c r="A257" s="69" t="s">
        <v>8</v>
      </c>
      <c r="B257" s="5"/>
      <c r="C257" s="52"/>
      <c r="D257" s="54"/>
      <c r="E257" s="88"/>
    </row>
    <row r="258" spans="1:5" x14ac:dyDescent="0.2">
      <c r="A258" s="73" t="s">
        <v>110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 x14ac:dyDescent="0.2">
      <c r="A259" s="73"/>
      <c r="B259" s="5"/>
      <c r="C259" s="52"/>
      <c r="D259" s="54"/>
      <c r="E259" s="89" t="e">
        <f>D258</f>
        <v>#REF!</v>
      </c>
    </row>
    <row r="260" spans="1:5" x14ac:dyDescent="0.2">
      <c r="A260" s="90"/>
      <c r="B260" s="5"/>
      <c r="C260" s="52"/>
      <c r="D260" s="54"/>
      <c r="E260" s="88"/>
    </row>
    <row r="261" spans="1:5" x14ac:dyDescent="0.2">
      <c r="A261" s="69" t="s">
        <v>16</v>
      </c>
      <c r="B261" s="5"/>
      <c r="C261" s="17"/>
      <c r="D261" s="54"/>
      <c r="E261" s="88"/>
    </row>
    <row r="262" spans="1:5" x14ac:dyDescent="0.2">
      <c r="A262" s="91" t="s">
        <v>110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 x14ac:dyDescent="0.2">
      <c r="A263" s="74"/>
      <c r="B263" s="5"/>
      <c r="C263" s="52"/>
      <c r="D263" s="54"/>
      <c r="E263" s="89" t="e">
        <f>D262</f>
        <v>#REF!</v>
      </c>
    </row>
    <row r="264" spans="1:5" x14ac:dyDescent="0.2">
      <c r="A264" s="73"/>
      <c r="B264" s="5"/>
      <c r="C264" s="52"/>
      <c r="D264" s="54"/>
      <c r="E264" s="89"/>
    </row>
    <row r="265" spans="1:5" x14ac:dyDescent="0.2">
      <c r="A265" s="69" t="s">
        <v>10</v>
      </c>
      <c r="B265" s="5"/>
      <c r="C265" s="17"/>
      <c r="D265" s="54"/>
      <c r="E265" s="88"/>
    </row>
    <row r="266" spans="1:5" x14ac:dyDescent="0.2">
      <c r="A266" s="91" t="s">
        <v>110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 x14ac:dyDescent="0.2">
      <c r="A267" s="74"/>
      <c r="B267" s="5"/>
      <c r="C267" s="52"/>
      <c r="D267" s="54"/>
      <c r="E267" s="89" t="e">
        <f>D266</f>
        <v>#REF!</v>
      </c>
    </row>
    <row r="268" spans="1:5" x14ac:dyDescent="0.2">
      <c r="A268" s="90"/>
      <c r="B268" s="17"/>
      <c r="C268" s="17"/>
      <c r="D268" s="17"/>
      <c r="E268" s="88"/>
    </row>
    <row r="269" spans="1:5" x14ac:dyDescent="0.2">
      <c r="A269" s="90"/>
      <c r="B269" s="17"/>
      <c r="C269" s="17"/>
      <c r="D269" s="17"/>
      <c r="E269" s="88"/>
    </row>
    <row r="270" spans="1:5" x14ac:dyDescent="0.2">
      <c r="A270" s="69" t="s">
        <v>11</v>
      </c>
      <c r="B270" s="5"/>
      <c r="C270" s="52"/>
      <c r="D270" s="54"/>
      <c r="E270" s="88"/>
    </row>
    <row r="271" spans="1:5" x14ac:dyDescent="0.2">
      <c r="A271" s="91" t="s">
        <v>110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 x14ac:dyDescent="0.2">
      <c r="A272" s="91"/>
      <c r="B272" s="5"/>
      <c r="C272" s="52"/>
      <c r="D272" s="54"/>
      <c r="E272" s="89" t="e">
        <f>D271</f>
        <v>#REF!</v>
      </c>
    </row>
    <row r="273" spans="1:7" x14ac:dyDescent="0.2">
      <c r="A273" s="91"/>
      <c r="B273" s="5"/>
      <c r="C273" s="52"/>
      <c r="D273" s="54"/>
      <c r="E273" s="88"/>
    </row>
    <row r="274" spans="1:7" x14ac:dyDescent="0.2">
      <c r="A274" s="69" t="s">
        <v>12</v>
      </c>
      <c r="B274" s="5"/>
      <c r="C274" s="52"/>
      <c r="D274" s="54"/>
      <c r="E274" s="88"/>
    </row>
    <row r="275" spans="1:7" x14ac:dyDescent="0.2">
      <c r="A275" s="73" t="s">
        <v>110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 x14ac:dyDescent="0.2">
      <c r="A276" s="74"/>
      <c r="B276" s="5"/>
      <c r="C276" s="92"/>
      <c r="D276" s="54"/>
      <c r="E276" s="89" t="e">
        <f>D275</f>
        <v>#REF!</v>
      </c>
    </row>
    <row r="277" spans="1:7" x14ac:dyDescent="0.2">
      <c r="A277" s="90"/>
      <c r="B277" s="17"/>
      <c r="C277" s="17"/>
      <c r="D277" s="17"/>
      <c r="E277" s="88"/>
    </row>
    <row r="278" spans="1:7" x14ac:dyDescent="0.2">
      <c r="A278" s="69" t="s">
        <v>128</v>
      </c>
      <c r="B278" s="17"/>
      <c r="C278" s="17"/>
      <c r="D278" s="17"/>
      <c r="E278" s="88"/>
    </row>
    <row r="279" spans="1:7" x14ac:dyDescent="0.2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 x14ac:dyDescent="0.2">
      <c r="A280" s="90"/>
      <c r="B280" s="17"/>
      <c r="C280" s="17"/>
      <c r="D280" s="17"/>
      <c r="E280" s="79" t="e">
        <f>D279</f>
        <v>#REF!</v>
      </c>
    </row>
    <row r="281" spans="1:7" x14ac:dyDescent="0.2">
      <c r="A281" s="90"/>
      <c r="B281" s="17"/>
      <c r="C281" s="17"/>
      <c r="D281" s="17"/>
      <c r="E281" s="88"/>
    </row>
    <row r="282" spans="1:7" x14ac:dyDescent="0.2">
      <c r="A282" s="71" t="s">
        <v>129</v>
      </c>
      <c r="B282" s="4"/>
      <c r="C282" s="4"/>
      <c r="D282" s="4"/>
      <c r="E282" s="93" t="e">
        <f>SUM(E246:E280)</f>
        <v>#REF!</v>
      </c>
    </row>
    <row r="285" spans="1:7" x14ac:dyDescent="0.2">
      <c r="B285" t="s">
        <v>151</v>
      </c>
      <c r="D285" t="s">
        <v>154</v>
      </c>
      <c r="E285" t="s">
        <v>155</v>
      </c>
      <c r="G285" t="s">
        <v>30</v>
      </c>
    </row>
    <row r="287" spans="1:7" x14ac:dyDescent="0.2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 x14ac:dyDescent="0.2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 x14ac:dyDescent="0.2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 x14ac:dyDescent="0.2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 x14ac:dyDescent="0.2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 x14ac:dyDescent="0.2">
      <c r="B292" t="s">
        <v>152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 x14ac:dyDescent="0.2">
      <c r="B293" t="s">
        <v>153</v>
      </c>
      <c r="C293">
        <v>50</v>
      </c>
      <c r="E293" t="e">
        <f>#REF!</f>
        <v>#REF!</v>
      </c>
      <c r="G293" t="e">
        <f t="shared" si="3"/>
        <v>#REF!</v>
      </c>
    </row>
    <row r="294" spans="2:8" x14ac:dyDescent="0.2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 x14ac:dyDescent="0.2">
      <c r="D295" s="5"/>
      <c r="E295" s="1"/>
      <c r="F295" s="18" t="s">
        <v>156</v>
      </c>
      <c r="G295" s="19" t="e">
        <f>SUM(G287:G294)</f>
        <v>#REF!</v>
      </c>
      <c r="H295" s="19" t="e">
        <f>SUM(H287:H294)</f>
        <v>#REF!</v>
      </c>
    </row>
    <row r="296" spans="2:8" x14ac:dyDescent="0.2">
      <c r="D296" s="5"/>
      <c r="E296" s="1"/>
      <c r="F296" s="18"/>
      <c r="G296" s="19"/>
      <c r="H296" s="20" t="e">
        <f>H295+G295</f>
        <v>#REF!</v>
      </c>
    </row>
    <row r="297" spans="2:8" x14ac:dyDescent="0.2">
      <c r="D297" s="5"/>
      <c r="E297" s="1"/>
      <c r="F297" s="18"/>
      <c r="G297" s="19"/>
      <c r="H297" s="20"/>
    </row>
    <row r="298" spans="2:8" x14ac:dyDescent="0.2">
      <c r="D298" s="1"/>
      <c r="E298" s="1"/>
      <c r="F298" s="7"/>
    </row>
    <row r="299" spans="2:8" x14ac:dyDescent="0.2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1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2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4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5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6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>
    <pageSetUpPr fitToPage="1"/>
  </sheetPr>
  <dimension ref="A1:AF665"/>
  <sheetViews>
    <sheetView tabSelected="1" zoomScale="90" zoomScaleNormal="90" workbookViewId="0">
      <selection activeCell="D8" sqref="D8"/>
    </sheetView>
  </sheetViews>
  <sheetFormatPr baseColWidth="10" defaultColWidth="9.140625" defaultRowHeight="12.75" x14ac:dyDescent="0.2"/>
  <cols>
    <col min="1" max="1" width="50.7109375" style="164" customWidth="1"/>
    <col min="2" max="2" width="11.140625" style="164" customWidth="1"/>
    <col min="3" max="3" width="8.7109375" style="164" customWidth="1"/>
    <col min="4" max="4" width="52.85546875" style="122" customWidth="1"/>
    <col min="5" max="5" width="18.5703125" style="122" customWidth="1"/>
    <col min="6" max="6" width="24.42578125" style="160" customWidth="1"/>
    <col min="7" max="7" width="18" style="122" hidden="1" customWidth="1"/>
    <col min="8" max="8" width="15" style="122" hidden="1" customWidth="1"/>
    <col min="9" max="32" width="9.140625" style="122" customWidth="1"/>
    <col min="33" max="16384" width="9.140625" style="164"/>
  </cols>
  <sheetData>
    <row r="1" spans="1:8" ht="26.25" x14ac:dyDescent="0.4">
      <c r="A1" s="118" t="s">
        <v>298</v>
      </c>
      <c r="B1" s="121"/>
      <c r="C1" s="121"/>
      <c r="D1" s="227"/>
    </row>
    <row r="2" spans="1:8" ht="23.25" x14ac:dyDescent="0.35">
      <c r="A2" s="335" t="s">
        <v>357</v>
      </c>
      <c r="B2" s="121"/>
      <c r="C2" s="121"/>
      <c r="D2" s="227"/>
    </row>
    <row r="3" spans="1:8" ht="13.5" customHeight="1" thickBot="1" x14ac:dyDescent="0.25">
      <c r="A3" s="123"/>
      <c r="B3" s="123"/>
      <c r="C3" s="123"/>
      <c r="D3" s="124"/>
      <c r="E3" s="124"/>
      <c r="F3" s="161"/>
    </row>
    <row r="4" spans="1:8" ht="20.25" customHeight="1" thickBot="1" x14ac:dyDescent="0.35">
      <c r="A4" s="119" t="s">
        <v>122</v>
      </c>
      <c r="B4" s="120"/>
      <c r="C4" s="322"/>
      <c r="D4" s="344" t="s">
        <v>248</v>
      </c>
      <c r="E4" s="386" t="s">
        <v>288</v>
      </c>
      <c r="F4" s="387"/>
      <c r="G4" s="388" t="s">
        <v>140</v>
      </c>
      <c r="H4" s="389"/>
    </row>
    <row r="5" spans="1:8" ht="16.5" customHeight="1" x14ac:dyDescent="0.25">
      <c r="A5" s="307" t="s">
        <v>283</v>
      </c>
      <c r="B5" s="186"/>
      <c r="C5" s="294"/>
      <c r="D5" s="345" t="s">
        <v>299</v>
      </c>
      <c r="E5" s="330" t="s">
        <v>190</v>
      </c>
      <c r="F5" s="331" t="s">
        <v>194</v>
      </c>
      <c r="G5" s="129">
        <v>0.09</v>
      </c>
      <c r="H5" s="130">
        <f>(B13+B14)*G5</f>
        <v>0</v>
      </c>
    </row>
    <row r="6" spans="1:8" ht="16.5" customHeight="1" x14ac:dyDescent="0.25">
      <c r="A6" s="187" t="s">
        <v>160</v>
      </c>
      <c r="B6" s="313">
        <v>1</v>
      </c>
      <c r="C6" s="384"/>
      <c r="D6" s="385" t="s">
        <v>311</v>
      </c>
      <c r="E6" s="202"/>
      <c r="F6" s="201"/>
      <c r="G6" s="126"/>
      <c r="H6" s="125" t="s">
        <v>1</v>
      </c>
    </row>
    <row r="7" spans="1:8" ht="15.75" customHeight="1" x14ac:dyDescent="0.25">
      <c r="A7" s="187" t="str">
        <f>IF(B6="5B", "Holder du til i Rogaland?","")</f>
        <v/>
      </c>
      <c r="B7" s="188" t="s">
        <v>370</v>
      </c>
      <c r="C7" s="384"/>
      <c r="D7" s="376" t="s">
        <v>198</v>
      </c>
      <c r="E7" s="202" t="s">
        <v>358</v>
      </c>
      <c r="F7" s="201">
        <f>(($B$13+$B$14)*Satser!$C$222)/2</f>
        <v>0</v>
      </c>
      <c r="G7" s="244"/>
      <c r="H7" s="299"/>
    </row>
    <row r="8" spans="1:8" ht="16.5" customHeight="1" x14ac:dyDescent="0.25">
      <c r="A8" s="187" t="s">
        <v>317</v>
      </c>
      <c r="B8" s="313" t="s">
        <v>318</v>
      </c>
      <c r="C8" s="384"/>
      <c r="D8" s="376" t="s">
        <v>51</v>
      </c>
      <c r="E8" s="202" t="s">
        <v>359</v>
      </c>
      <c r="F8" s="201">
        <f>($B$19*Satser!$C$227)+(Utslag!$B$22*Satser!$C$232)+(Utslag!$B$20*Satser!$C$229)+($B$21*Satser!$C$231)</f>
        <v>0</v>
      </c>
      <c r="G8" s="244"/>
      <c r="H8" s="299"/>
    </row>
    <row r="9" spans="1:8" ht="15.75" customHeight="1" x14ac:dyDescent="0.2">
      <c r="A9" s="300" t="str">
        <f>IF(B6=5,"Rogaland, Hordaland, Sogn- og Fjordane eller Møre og Romsdal?","")</f>
        <v/>
      </c>
      <c r="B9" s="324" t="str">
        <f>IF(C6=5,"Rogaland, Hordaland, Sogn- og Fjordane eller Møre og Romsdal?","")</f>
        <v/>
      </c>
      <c r="C9" s="186"/>
      <c r="D9" s="376" t="s">
        <v>38</v>
      </c>
      <c r="E9" s="202" t="s">
        <v>360</v>
      </c>
      <c r="F9" s="201">
        <f>$B$25*Satser!$C$234</f>
        <v>0</v>
      </c>
      <c r="G9" s="244"/>
      <c r="H9" s="299"/>
    </row>
    <row r="10" spans="1:8" ht="16.5" customHeight="1" x14ac:dyDescent="0.25">
      <c r="A10" s="187" t="s">
        <v>236</v>
      </c>
      <c r="B10" s="188" t="s">
        <v>212</v>
      </c>
      <c r="C10" s="186"/>
      <c r="D10" s="377" t="s">
        <v>247</v>
      </c>
      <c r="E10" s="298" t="s">
        <v>361</v>
      </c>
      <c r="F10" s="312">
        <f>$B$33*$E$10</f>
        <v>0</v>
      </c>
      <c r="G10" s="129"/>
      <c r="H10" s="130"/>
    </row>
    <row r="11" spans="1:8" ht="16.5" customHeight="1" x14ac:dyDescent="0.25">
      <c r="A11" s="187"/>
      <c r="B11" s="324" t="str">
        <f>IF(C9=5,"Rogaland, Hordaland, Sogn- og Fjordane eller Møre og Romsdal?","")</f>
        <v/>
      </c>
      <c r="C11" s="294"/>
      <c r="D11" s="346" t="s">
        <v>313</v>
      </c>
      <c r="E11" s="202"/>
      <c r="F11" s="201"/>
      <c r="G11" s="129"/>
      <c r="H11" s="130"/>
    </row>
    <row r="12" spans="1:8" ht="15.75" customHeight="1" x14ac:dyDescent="0.25">
      <c r="A12" s="187" t="s">
        <v>67</v>
      </c>
      <c r="B12" s="186"/>
      <c r="C12" s="294"/>
      <c r="D12" s="347" t="s">
        <v>138</v>
      </c>
      <c r="E12" s="202" t="s">
        <v>290</v>
      </c>
      <c r="F12" s="201">
        <f>(60.5*$E$12*$B$15)/2</f>
        <v>0</v>
      </c>
      <c r="G12" s="129">
        <v>0.02</v>
      </c>
      <c r="H12" s="130">
        <f>B19*G12</f>
        <v>0</v>
      </c>
    </row>
    <row r="13" spans="1:8" ht="15.75" customHeight="1" x14ac:dyDescent="0.25">
      <c r="A13" s="192" t="s">
        <v>13</v>
      </c>
      <c r="B13" s="229"/>
      <c r="C13" s="189" t="s">
        <v>14</v>
      </c>
      <c r="D13" s="347" t="s">
        <v>166</v>
      </c>
      <c r="E13" s="202" t="s">
        <v>290</v>
      </c>
      <c r="F13" s="201">
        <f>(49.13*$E$13*$B$18)/2</f>
        <v>0</v>
      </c>
      <c r="G13" s="129">
        <v>0.02</v>
      </c>
      <c r="H13" s="130" t="e">
        <f>#REF!*G13</f>
        <v>#REF!</v>
      </c>
    </row>
    <row r="14" spans="1:8" ht="15.75" customHeight="1" x14ac:dyDescent="0.25">
      <c r="A14" s="192" t="s">
        <v>15</v>
      </c>
      <c r="B14" s="229"/>
      <c r="C14" s="189" t="s">
        <v>14</v>
      </c>
      <c r="D14" s="347" t="s">
        <v>165</v>
      </c>
      <c r="E14" s="202" t="s">
        <v>290</v>
      </c>
      <c r="F14" s="201">
        <f>(32.68*$B$17*$E$14)/2</f>
        <v>0</v>
      </c>
      <c r="G14" s="129"/>
      <c r="H14" s="130"/>
    </row>
    <row r="15" spans="1:8" ht="15.75" customHeight="1" x14ac:dyDescent="0.25">
      <c r="A15" s="192" t="s">
        <v>138</v>
      </c>
      <c r="B15" s="229"/>
      <c r="C15" s="189" t="s">
        <v>2</v>
      </c>
      <c r="D15" s="347" t="s">
        <v>80</v>
      </c>
      <c r="E15" s="202" t="s">
        <v>290</v>
      </c>
      <c r="F15" s="201">
        <f>(18.75*$E$15*$B$23)/2</f>
        <v>0</v>
      </c>
      <c r="G15" s="129"/>
      <c r="H15" s="130"/>
    </row>
    <row r="16" spans="1:8" ht="15.75" customHeight="1" x14ac:dyDescent="0.25">
      <c r="A16" s="192" t="s">
        <v>377</v>
      </c>
      <c r="B16" s="229"/>
      <c r="C16" s="189" t="s">
        <v>2</v>
      </c>
      <c r="D16" s="347" t="s">
        <v>201</v>
      </c>
      <c r="E16" s="202" t="s">
        <v>291</v>
      </c>
      <c r="F16" s="203">
        <f>(3.4*$B$24)/2</f>
        <v>0</v>
      </c>
      <c r="G16" s="129"/>
      <c r="H16" s="130"/>
    </row>
    <row r="17" spans="1:8" ht="15.75" customHeight="1" x14ac:dyDescent="0.25">
      <c r="A17" s="192" t="s">
        <v>165</v>
      </c>
      <c r="B17" s="229"/>
      <c r="C17" s="189" t="s">
        <v>2</v>
      </c>
      <c r="D17" s="350" t="s">
        <v>312</v>
      </c>
      <c r="E17" s="212"/>
      <c r="F17" s="213">
        <f>SUM(F7:F16)</f>
        <v>0</v>
      </c>
      <c r="G17" s="129">
        <v>0.25</v>
      </c>
      <c r="H17" s="130">
        <f>B23*G17</f>
        <v>0</v>
      </c>
    </row>
    <row r="18" spans="1:8" ht="15.75" customHeight="1" x14ac:dyDescent="0.25">
      <c r="A18" s="192" t="s">
        <v>166</v>
      </c>
      <c r="B18" s="229"/>
      <c r="C18" s="189" t="s">
        <v>2</v>
      </c>
      <c r="D18" s="347" t="s">
        <v>245</v>
      </c>
      <c r="E18" s="202"/>
      <c r="F18" s="201">
        <f>B30*Satser!X4+Utslag!B31*Satser!X5+Utslag!B32*Satser!X6</f>
        <v>0</v>
      </c>
      <c r="G18" s="135">
        <v>4.5999999999999999E-2</v>
      </c>
      <c r="H18" s="136">
        <f>B33*G18</f>
        <v>0</v>
      </c>
    </row>
    <row r="19" spans="1:8" ht="15.75" customHeight="1" x14ac:dyDescent="0.25">
      <c r="A19" s="192" t="s">
        <v>265</v>
      </c>
      <c r="B19" s="229"/>
      <c r="C19" s="189" t="s">
        <v>2</v>
      </c>
      <c r="D19" s="347" t="s">
        <v>66</v>
      </c>
      <c r="E19" s="205" t="str">
        <f>IF(Satser!C81&gt;0,"Toppavgrensing",IF(Satser!C82&gt;0,"Toppavgrensing",IF(Satser!C83&gt;0,"Toppavgr.før, ikke nå","")))</f>
        <v/>
      </c>
      <c r="F19" s="201">
        <f>B43*Satser!X9+Utslag!B44*Satser!X10+Utslag!B45*Satser!X11+Utslag!B46*Satser!X12+Utslag!B48*Satser!X13+Utslag!B50*Satser!X14+Utslag!B51*Satser!X15+Utslag!B52*Satser!X16+Utslag!B55*Satser!X19+Utslag!B57*Satser!X20+Utslag!B56*Satser!X21</f>
        <v>0</v>
      </c>
      <c r="G19" s="126"/>
      <c r="H19" s="137" t="e">
        <f>SUM(H5:H18)</f>
        <v>#REF!</v>
      </c>
    </row>
    <row r="20" spans="1:8" ht="15.75" customHeight="1" x14ac:dyDescent="0.25">
      <c r="A20" s="192" t="s">
        <v>373</v>
      </c>
      <c r="B20" s="229"/>
      <c r="C20" s="189" t="s">
        <v>2</v>
      </c>
      <c r="D20" s="347" t="s">
        <v>305</v>
      </c>
      <c r="E20" s="204"/>
      <c r="F20" s="201">
        <f>B37*Satser!X25+Utslag!B38*Satser!X26+Utslag!B39*Satser!X27+Utslag!B40*Satser!X28+Utslag!B41*Satser!X29+(B36+B35*0.6)*Satser!X24</f>
        <v>0</v>
      </c>
      <c r="G20" s="244"/>
      <c r="H20" s="245"/>
    </row>
    <row r="21" spans="1:8" ht="15.75" customHeight="1" x14ac:dyDescent="0.25">
      <c r="A21" s="192" t="s">
        <v>167</v>
      </c>
      <c r="B21" s="229"/>
      <c r="C21" s="189" t="s">
        <v>2</v>
      </c>
      <c r="D21" s="350" t="s">
        <v>133</v>
      </c>
      <c r="E21" s="210"/>
      <c r="F21" s="211">
        <f>SUM(F18:F20)</f>
        <v>0</v>
      </c>
      <c r="G21" s="244"/>
      <c r="H21" s="245"/>
    </row>
    <row r="22" spans="1:8" ht="15.75" customHeight="1" x14ac:dyDescent="0.25">
      <c r="A22" s="192" t="s">
        <v>69</v>
      </c>
      <c r="B22" s="229"/>
      <c r="C22" s="189" t="s">
        <v>2</v>
      </c>
      <c r="D22" s="353" t="s">
        <v>306</v>
      </c>
      <c r="E22" s="216"/>
      <c r="F22" s="217">
        <f>F21+F17</f>
        <v>0</v>
      </c>
      <c r="G22" s="244"/>
      <c r="H22" s="245"/>
    </row>
    <row r="23" spans="1:8" ht="19.5" customHeight="1" x14ac:dyDescent="0.25">
      <c r="A23" s="192" t="s">
        <v>80</v>
      </c>
      <c r="B23" s="229"/>
      <c r="C23" s="189" t="s">
        <v>2</v>
      </c>
      <c r="D23" s="357" t="s">
        <v>307</v>
      </c>
      <c r="E23" s="306"/>
      <c r="F23" s="332">
        <f>IF($B$67&gt;354211,0,IF(($B$67+F22)&lt;0,0,IF(($B$67+F22)&lt;93000,(F22*0.22)/(1-0.397),IF(AND(($B$67+F22)&gt;93000,($B$67+F22)&lt;354211),IF($B$67&lt;93000,((93000-$B$67)*0.22)/(1-0.397),(F22*0.38*0.22)/(1-0.397)),IF(AND($B$67&lt;354211,($B$67+F22)&gt;354211),((354211-$B$67)*0.38*0.22)/(1-0.397))))))</f>
        <v>0</v>
      </c>
      <c r="G23" s="139" t="s">
        <v>149</v>
      </c>
      <c r="H23" s="130" t="e">
        <f>0*'Ark18'!C20+0*#REF!-#REF!*63+#REF!*0</f>
        <v>#REF!</v>
      </c>
    </row>
    <row r="24" spans="1:8" ht="18" customHeight="1" x14ac:dyDescent="0.25">
      <c r="A24" s="192" t="s">
        <v>201</v>
      </c>
      <c r="B24" s="229"/>
      <c r="C24" s="189" t="s">
        <v>2</v>
      </c>
      <c r="D24" s="358" t="s">
        <v>356</v>
      </c>
      <c r="E24" s="216"/>
      <c r="F24" s="333">
        <f>F22+F23</f>
        <v>0</v>
      </c>
      <c r="G24" s="139"/>
      <c r="H24" s="130"/>
    </row>
    <row r="25" spans="1:8" ht="19.5" customHeight="1" thickBot="1" x14ac:dyDescent="0.3">
      <c r="A25" s="192" t="s">
        <v>61</v>
      </c>
      <c r="B25" s="229"/>
      <c r="C25" s="189" t="s">
        <v>2</v>
      </c>
      <c r="D25" s="370" t="s">
        <v>284</v>
      </c>
      <c r="E25" s="325"/>
      <c r="F25" s="334" t="str">
        <f>IF($B$68="","",$F$24/$B$68)</f>
        <v/>
      </c>
      <c r="G25" s="138">
        <v>7</v>
      </c>
      <c r="H25" s="130" t="e">
        <f>('Ark18'!C8+'Ark18'!C9+(B35*0.6)+B36+#REF!+'Ark18'!C6+'Ark18'!C7)*G25</f>
        <v>#REF!</v>
      </c>
    </row>
    <row r="26" spans="1:8" ht="18.75" customHeight="1" thickBot="1" x14ac:dyDescent="0.3">
      <c r="A26" s="192" t="s">
        <v>268</v>
      </c>
      <c r="B26" s="229"/>
      <c r="C26" s="189" t="s">
        <v>2</v>
      </c>
      <c r="D26" s="371" t="s">
        <v>355</v>
      </c>
      <c r="E26" s="328"/>
      <c r="F26" s="329"/>
      <c r="G26" s="138"/>
      <c r="H26" s="130"/>
    </row>
    <row r="27" spans="1:8" ht="19.5" customHeight="1" thickBot="1" x14ac:dyDescent="0.3">
      <c r="A27" s="192" t="s">
        <v>286</v>
      </c>
      <c r="B27" s="229"/>
      <c r="C27" s="189" t="s">
        <v>2</v>
      </c>
      <c r="D27" s="372"/>
      <c r="E27" s="124"/>
      <c r="F27" s="341"/>
      <c r="G27" s="138"/>
      <c r="H27" s="130"/>
    </row>
    <row r="28" spans="1:8" ht="24" customHeight="1" thickBot="1" x14ac:dyDescent="0.35">
      <c r="A28" s="192" t="s">
        <v>269</v>
      </c>
      <c r="B28" s="229"/>
      <c r="C28" s="189" t="s">
        <v>2</v>
      </c>
      <c r="D28" s="344" t="s">
        <v>248</v>
      </c>
      <c r="E28" s="390" t="s">
        <v>310</v>
      </c>
      <c r="F28" s="387"/>
      <c r="G28" s="138"/>
      <c r="H28" s="130"/>
    </row>
    <row r="29" spans="1:8" ht="21" customHeight="1" thickBot="1" x14ac:dyDescent="0.3">
      <c r="A29" s="192" t="s">
        <v>246</v>
      </c>
      <c r="B29" s="229"/>
      <c r="C29" s="189" t="s">
        <v>2</v>
      </c>
      <c r="D29" s="367" t="s">
        <v>309</v>
      </c>
      <c r="E29" s="368" t="s">
        <v>190</v>
      </c>
      <c r="F29" s="369" t="s">
        <v>194</v>
      </c>
      <c r="G29" s="138"/>
      <c r="H29" s="130"/>
    </row>
    <row r="30" spans="1:8" ht="23.25" customHeight="1" x14ac:dyDescent="0.25">
      <c r="A30" s="192" t="s">
        <v>273</v>
      </c>
      <c r="B30" s="229"/>
      <c r="C30" s="189" t="s">
        <v>2</v>
      </c>
      <c r="D30" s="346" t="s">
        <v>311</v>
      </c>
      <c r="E30" s="202"/>
      <c r="F30" s="201"/>
      <c r="G30" s="138"/>
      <c r="H30" s="130"/>
    </row>
    <row r="31" spans="1:8" ht="16.5" customHeight="1" x14ac:dyDescent="0.25">
      <c r="A31" s="192" t="s">
        <v>274</v>
      </c>
      <c r="B31" s="229"/>
      <c r="C31" s="189" t="s">
        <v>2</v>
      </c>
      <c r="D31" s="347" t="s">
        <v>198</v>
      </c>
      <c r="E31" s="202" t="s">
        <v>358</v>
      </c>
      <c r="F31" s="201">
        <f>($B$13+$B$14)*Satser!$C$222</f>
        <v>0</v>
      </c>
      <c r="G31" s="138"/>
      <c r="H31" s="130"/>
    </row>
    <row r="32" spans="1:8" ht="17.25" customHeight="1" x14ac:dyDescent="0.25">
      <c r="A32" s="192" t="s">
        <v>275</v>
      </c>
      <c r="B32" s="229"/>
      <c r="C32" s="189" t="s">
        <v>2</v>
      </c>
      <c r="D32" s="347" t="s">
        <v>51</v>
      </c>
      <c r="E32" s="202" t="s">
        <v>359</v>
      </c>
      <c r="F32" s="201">
        <f>($B$19*Satser!$C$227)+(Utslag!$B$22*Satser!$C$232)+(Utslag!$B$20*Satser!$C$229)+($B$21*Satser!$C$231)</f>
        <v>0</v>
      </c>
      <c r="G32" s="138"/>
      <c r="H32" s="130"/>
    </row>
    <row r="33" spans="1:12" ht="15.75" customHeight="1" x14ac:dyDescent="0.25">
      <c r="A33" s="193" t="s">
        <v>264</v>
      </c>
      <c r="B33" s="228"/>
      <c r="C33" s="191" t="s">
        <v>54</v>
      </c>
      <c r="D33" s="347" t="s">
        <v>38</v>
      </c>
      <c r="E33" s="202" t="s">
        <v>360</v>
      </c>
      <c r="F33" s="201">
        <f>$B$25*Satser!$C$234</f>
        <v>0</v>
      </c>
      <c r="G33" s="138"/>
      <c r="H33" s="130" t="e">
        <f>tilbud!E37</f>
        <v>#REF!</v>
      </c>
    </row>
    <row r="34" spans="1:12" ht="18.75" customHeight="1" x14ac:dyDescent="0.25">
      <c r="A34" s="195" t="s">
        <v>49</v>
      </c>
      <c r="B34" s="196"/>
      <c r="C34" s="295"/>
      <c r="D34" s="348" t="s">
        <v>247</v>
      </c>
      <c r="E34" s="298" t="s">
        <v>361</v>
      </c>
      <c r="F34" s="312">
        <f>$B$33*$E$10</f>
        <v>0</v>
      </c>
      <c r="G34" s="141" t="e">
        <f>IF(tilbud!C204&gt;0,"Toppavgrensing",IF(tilbud!C205&gt;0,"Toppavgrensing",IF(tilbud!C206&gt;0,"Toppavgr.før, ikke nå","")))</f>
        <v>#REF!</v>
      </c>
      <c r="H34" s="130" t="e">
        <f>IF(tilbud!$C$207=0,tilbud!$D$210,tilbud!$C$207)</f>
        <v>#REF!</v>
      </c>
    </row>
    <row r="35" spans="1:12" ht="15" customHeight="1" x14ac:dyDescent="0.25">
      <c r="A35" s="192" t="s">
        <v>70</v>
      </c>
      <c r="B35" s="230"/>
      <c r="C35" s="189" t="s">
        <v>3</v>
      </c>
      <c r="D35" s="349" t="s">
        <v>313</v>
      </c>
      <c r="E35" s="202"/>
      <c r="F35" s="201"/>
      <c r="G35" s="144">
        <v>0.02</v>
      </c>
      <c r="H35" s="145">
        <f>G35*'Ark18'!C22</f>
        <v>0</v>
      </c>
    </row>
    <row r="36" spans="1:12" ht="15" customHeight="1" x14ac:dyDescent="0.25">
      <c r="A36" s="192" t="s">
        <v>71</v>
      </c>
      <c r="B36" s="230"/>
      <c r="C36" s="189" t="s">
        <v>3</v>
      </c>
      <c r="D36" s="347" t="s">
        <v>206</v>
      </c>
      <c r="E36" s="202" t="s">
        <v>314</v>
      </c>
      <c r="F36" s="201">
        <f>(60.5*$E$36*$B$15)</f>
        <v>0</v>
      </c>
      <c r="G36" s="147"/>
      <c r="H36" s="146" t="e">
        <f>H115+H19-H35</f>
        <v>#REF!</v>
      </c>
    </row>
    <row r="37" spans="1:12" ht="15" customHeight="1" x14ac:dyDescent="0.25">
      <c r="A37" s="192" t="s">
        <v>48</v>
      </c>
      <c r="B37" s="230"/>
      <c r="C37" s="189" t="s">
        <v>3</v>
      </c>
      <c r="D37" s="347" t="s">
        <v>208</v>
      </c>
      <c r="E37" s="202" t="s">
        <v>314</v>
      </c>
      <c r="F37" s="201">
        <f>(49.13*$E$37*$B$18)</f>
        <v>0</v>
      </c>
      <c r="G37" s="250"/>
      <c r="H37" s="251"/>
    </row>
    <row r="38" spans="1:12" ht="15.75" customHeight="1" x14ac:dyDescent="0.25">
      <c r="A38" s="192" t="s">
        <v>50</v>
      </c>
      <c r="B38" s="230"/>
      <c r="C38" s="189" t="s">
        <v>3</v>
      </c>
      <c r="D38" s="347" t="s">
        <v>289</v>
      </c>
      <c r="E38" s="202" t="s">
        <v>314</v>
      </c>
      <c r="F38" s="201">
        <f>(32.68*$B$17*$E$38)</f>
        <v>0</v>
      </c>
      <c r="G38" s="250"/>
      <c r="H38" s="251"/>
    </row>
    <row r="39" spans="1:12" ht="15.75" customHeight="1" x14ac:dyDescent="0.25">
      <c r="A39" s="192" t="s">
        <v>62</v>
      </c>
      <c r="B39" s="230"/>
      <c r="C39" s="189" t="s">
        <v>3</v>
      </c>
      <c r="D39" s="347" t="s">
        <v>209</v>
      </c>
      <c r="E39" s="202" t="s">
        <v>314</v>
      </c>
      <c r="F39" s="201">
        <f>(18.75*$E$39*$B$23)</f>
        <v>0</v>
      </c>
      <c r="G39" s="250"/>
      <c r="H39" s="251"/>
    </row>
    <row r="40" spans="1:12" ht="15.75" customHeight="1" x14ac:dyDescent="0.25">
      <c r="A40" s="192" t="s">
        <v>227</v>
      </c>
      <c r="B40" s="230"/>
      <c r="C40" s="189" t="s">
        <v>3</v>
      </c>
      <c r="D40" s="348" t="s">
        <v>249</v>
      </c>
      <c r="E40" s="202" t="s">
        <v>315</v>
      </c>
      <c r="F40" s="203">
        <f>(22.26*E40*$B$24)</f>
        <v>0</v>
      </c>
      <c r="G40" s="250"/>
      <c r="H40" s="251"/>
    </row>
    <row r="41" spans="1:12" ht="18" customHeight="1" x14ac:dyDescent="0.25">
      <c r="A41" s="192" t="s">
        <v>141</v>
      </c>
      <c r="B41" s="230"/>
      <c r="C41" s="189" t="s">
        <v>3</v>
      </c>
      <c r="D41" s="350" t="s">
        <v>205</v>
      </c>
      <c r="E41" s="212"/>
      <c r="F41" s="213">
        <f>SUM(F31:F40)</f>
        <v>0</v>
      </c>
      <c r="G41" s="250"/>
      <c r="H41" s="251"/>
    </row>
    <row r="42" spans="1:12" ht="18.75" customHeight="1" x14ac:dyDescent="0.25">
      <c r="A42" s="195" t="s">
        <v>68</v>
      </c>
      <c r="B42" s="197"/>
      <c r="C42" s="323"/>
      <c r="D42" s="347" t="s">
        <v>372</v>
      </c>
      <c r="E42" s="202"/>
      <c r="F42" s="351">
        <f>Satser!N63</f>
        <v>0</v>
      </c>
      <c r="G42" s="149"/>
      <c r="H42" s="150"/>
    </row>
    <row r="43" spans="1:12" ht="17.25" customHeight="1" x14ac:dyDescent="0.25">
      <c r="A43" s="192" t="s">
        <v>4</v>
      </c>
      <c r="B43" s="229"/>
      <c r="C43" s="189" t="s">
        <v>5</v>
      </c>
      <c r="D43" s="347" t="s">
        <v>378</v>
      </c>
      <c r="E43" s="202"/>
      <c r="F43" s="351">
        <f>3*B16</f>
        <v>0</v>
      </c>
      <c r="G43" s="124"/>
      <c r="H43" s="151"/>
      <c r="J43" s="121"/>
      <c r="K43" s="121"/>
      <c r="L43" s="121"/>
    </row>
    <row r="44" spans="1:12" ht="15.75" customHeight="1" x14ac:dyDescent="0.25">
      <c r="A44" s="192" t="s">
        <v>188</v>
      </c>
      <c r="B44" s="229"/>
      <c r="C44" s="189" t="s">
        <v>5</v>
      </c>
      <c r="D44" s="347" t="s">
        <v>381</v>
      </c>
      <c r="E44" s="202"/>
      <c r="F44" s="351">
        <f>75*B49+50*B47</f>
        <v>0</v>
      </c>
      <c r="G44" s="124"/>
      <c r="H44" s="151"/>
    </row>
    <row r="45" spans="1:12" ht="18" customHeight="1" x14ac:dyDescent="0.25">
      <c r="A45" s="192" t="s">
        <v>6</v>
      </c>
      <c r="B45" s="229"/>
      <c r="C45" s="189" t="s">
        <v>5</v>
      </c>
      <c r="D45" s="347" t="s">
        <v>220</v>
      </c>
      <c r="E45" s="204"/>
      <c r="F45" s="201">
        <f>IF($B$6="","Sone mangler",Satser!$E$20)</f>
        <v>0</v>
      </c>
      <c r="G45" s="124"/>
      <c r="H45" s="151"/>
    </row>
    <row r="46" spans="1:12" ht="18" customHeight="1" x14ac:dyDescent="0.25">
      <c r="A46" s="192" t="s">
        <v>65</v>
      </c>
      <c r="B46" s="229"/>
      <c r="C46" s="189" t="s">
        <v>5</v>
      </c>
      <c r="D46" s="347" t="s">
        <v>66</v>
      </c>
      <c r="E46" s="205"/>
      <c r="F46" s="201">
        <f>Satser!$C$84</f>
        <v>0</v>
      </c>
      <c r="G46" s="124"/>
      <c r="H46" s="151"/>
    </row>
    <row r="47" spans="1:12" ht="18" customHeight="1" x14ac:dyDescent="0.25">
      <c r="A47" s="192" t="s">
        <v>380</v>
      </c>
      <c r="B47" s="229"/>
      <c r="C47" s="189" t="s">
        <v>303</v>
      </c>
      <c r="D47" s="347" t="s">
        <v>276</v>
      </c>
      <c r="E47" s="205"/>
      <c r="F47" s="201">
        <f>IF($B$43&lt;6,0,IF($B$43&lt;23,$B$43*840,IF($B$43&lt;51,19320-(690*($B$43-23)),0)))</f>
        <v>0</v>
      </c>
      <c r="G47" s="124"/>
      <c r="H47" s="151"/>
    </row>
    <row r="48" spans="1:12" ht="18" customHeight="1" x14ac:dyDescent="0.25">
      <c r="A48" s="192" t="s">
        <v>304</v>
      </c>
      <c r="B48" s="229"/>
      <c r="C48" s="189" t="s">
        <v>5</v>
      </c>
      <c r="D48" s="347" t="s">
        <v>157</v>
      </c>
      <c r="E48" s="206"/>
      <c r="F48" s="201">
        <f>Satser!$J$187</f>
        <v>0</v>
      </c>
      <c r="G48" s="124"/>
      <c r="H48" s="151"/>
    </row>
    <row r="49" spans="1:8" ht="18" customHeight="1" x14ac:dyDescent="0.25">
      <c r="A49" s="192" t="s">
        <v>379</v>
      </c>
      <c r="B49" s="229"/>
      <c r="C49" s="189" t="s">
        <v>303</v>
      </c>
      <c r="D49" s="347" t="s">
        <v>221</v>
      </c>
      <c r="E49" s="206"/>
      <c r="F49" s="201">
        <f>Satser!$C$146</f>
        <v>0</v>
      </c>
      <c r="G49" s="124"/>
      <c r="H49" s="151"/>
    </row>
    <row r="50" spans="1:8" ht="18" customHeight="1" x14ac:dyDescent="0.25">
      <c r="A50" s="192" t="s">
        <v>10</v>
      </c>
      <c r="B50" s="229"/>
      <c r="C50" s="189" t="s">
        <v>5</v>
      </c>
      <c r="D50" s="347" t="s">
        <v>72</v>
      </c>
      <c r="E50" s="206"/>
      <c r="F50" s="201">
        <f>IF($B$43=0,0,IF($B$43&gt;4,Satser!$N$43,Satser!$N$43/5*$B$43))+IF($B$46=0,0,IF($B$46&gt;27,50000,50000/27*$B$46))+IF($B$44&gt;40,Satser!$N$50,IF($B$44&lt;6,0,$B$44*Satser!$N$50/40))</f>
        <v>0</v>
      </c>
      <c r="G50" s="124"/>
      <c r="H50" s="151"/>
    </row>
    <row r="51" spans="1:8" ht="18" customHeight="1" x14ac:dyDescent="0.25">
      <c r="A51" s="192" t="s">
        <v>11</v>
      </c>
      <c r="B51" s="229"/>
      <c r="C51" s="189" t="s">
        <v>5</v>
      </c>
      <c r="D51" s="352" t="s">
        <v>256</v>
      </c>
      <c r="E51" s="202"/>
      <c r="F51" s="201">
        <f>$B$60*270+$B$61*65+$B$58*85+$B$59*10</f>
        <v>0</v>
      </c>
      <c r="G51" s="124"/>
      <c r="H51" s="151"/>
    </row>
    <row r="52" spans="1:8" ht="18" customHeight="1" x14ac:dyDescent="0.25">
      <c r="A52" s="192" t="s">
        <v>127</v>
      </c>
      <c r="B52" s="229"/>
      <c r="C52" s="189" t="s">
        <v>5</v>
      </c>
      <c r="D52" s="347" t="s">
        <v>262</v>
      </c>
      <c r="E52" s="206"/>
      <c r="F52" s="201">
        <v>0</v>
      </c>
      <c r="G52" s="124"/>
      <c r="H52" s="151"/>
    </row>
    <row r="53" spans="1:8" ht="18" customHeight="1" x14ac:dyDescent="0.25">
      <c r="A53" s="192" t="s">
        <v>300</v>
      </c>
      <c r="B53" s="229"/>
      <c r="C53" s="189" t="s">
        <v>301</v>
      </c>
      <c r="D53" s="350" t="s">
        <v>133</v>
      </c>
      <c r="E53" s="210"/>
      <c r="F53" s="211">
        <f>SUM(F42:F52)</f>
        <v>0</v>
      </c>
      <c r="G53" s="124"/>
      <c r="H53" s="151"/>
    </row>
    <row r="54" spans="1:8" ht="18" customHeight="1" x14ac:dyDescent="0.25">
      <c r="A54" s="192" t="s">
        <v>302</v>
      </c>
      <c r="B54" s="229"/>
      <c r="C54" s="189" t="s">
        <v>303</v>
      </c>
      <c r="D54" s="353" t="s">
        <v>353</v>
      </c>
      <c r="E54" s="216"/>
      <c r="F54" s="217">
        <f>F53+F41</f>
        <v>0</v>
      </c>
      <c r="G54" s="124"/>
      <c r="H54" s="151"/>
    </row>
    <row r="55" spans="1:8" ht="21" customHeight="1" x14ac:dyDescent="0.25">
      <c r="A55" s="192" t="s">
        <v>115</v>
      </c>
      <c r="B55" s="229"/>
      <c r="C55" s="189" t="s">
        <v>303</v>
      </c>
      <c r="D55" s="354" t="s">
        <v>202</v>
      </c>
      <c r="E55" s="182"/>
      <c r="F55" s="183"/>
      <c r="G55" s="124"/>
      <c r="H55" s="151"/>
    </row>
    <row r="56" spans="1:8" ht="18" customHeight="1" x14ac:dyDescent="0.25">
      <c r="A56" s="192" t="s">
        <v>207</v>
      </c>
      <c r="B56" s="229"/>
      <c r="C56" s="189" t="s">
        <v>5</v>
      </c>
      <c r="D56" s="355" t="s">
        <v>204</v>
      </c>
      <c r="E56" s="184"/>
      <c r="F56" s="185"/>
      <c r="G56" s="124"/>
      <c r="H56" s="151"/>
    </row>
    <row r="57" spans="1:8" ht="18" customHeight="1" x14ac:dyDescent="0.25">
      <c r="A57" s="193" t="s">
        <v>238</v>
      </c>
      <c r="B57" s="297"/>
      <c r="C57" s="373" t="s">
        <v>253</v>
      </c>
      <c r="D57" s="375" t="s">
        <v>337</v>
      </c>
      <c r="E57" s="207"/>
      <c r="F57" s="208"/>
      <c r="G57" s="124"/>
      <c r="H57" s="151"/>
    </row>
    <row r="58" spans="1:8" ht="18" customHeight="1" x14ac:dyDescent="0.25">
      <c r="A58" s="192" t="s">
        <v>254</v>
      </c>
      <c r="B58" s="229"/>
      <c r="C58" s="374" t="s">
        <v>5</v>
      </c>
      <c r="D58" s="381" t="s">
        <v>214</v>
      </c>
      <c r="E58" s="382" t="s">
        <v>366</v>
      </c>
      <c r="F58" s="383">
        <f>0.25*$B$65</f>
        <v>0</v>
      </c>
      <c r="G58" s="124"/>
      <c r="H58" s="151"/>
    </row>
    <row r="59" spans="1:8" ht="15.75" customHeight="1" x14ac:dyDescent="0.35">
      <c r="A59" s="193" t="s">
        <v>255</v>
      </c>
      <c r="B59" s="297"/>
      <c r="C59" s="373" t="s">
        <v>5</v>
      </c>
      <c r="D59" s="376" t="s">
        <v>354</v>
      </c>
      <c r="E59" s="246"/>
      <c r="F59" s="247">
        <f>Satser!M110</f>
        <v>0</v>
      </c>
      <c r="G59" s="124"/>
      <c r="H59" s="151"/>
    </row>
    <row r="60" spans="1:8" ht="16.5" customHeight="1" x14ac:dyDescent="0.25">
      <c r="A60" s="192" t="s">
        <v>239</v>
      </c>
      <c r="B60" s="229"/>
      <c r="C60" s="374" t="s">
        <v>5</v>
      </c>
      <c r="D60" s="378" t="s">
        <v>382</v>
      </c>
      <c r="E60" s="379" t="str">
        <f>IF(Satser!M110=0,"",Satser!N108)</f>
        <v/>
      </c>
      <c r="F60" s="380"/>
      <c r="G60" s="124"/>
      <c r="H60" s="151"/>
    </row>
    <row r="61" spans="1:8" ht="15.75" customHeight="1" x14ac:dyDescent="0.25">
      <c r="A61" s="193" t="s">
        <v>240</v>
      </c>
      <c r="B61" s="297"/>
      <c r="C61" s="373" t="s">
        <v>5</v>
      </c>
      <c r="D61" s="376" t="s">
        <v>336</v>
      </c>
      <c r="E61" s="318">
        <v>0</v>
      </c>
      <c r="F61" s="321">
        <v>0</v>
      </c>
      <c r="G61" s="124"/>
      <c r="H61" s="151"/>
    </row>
    <row r="62" spans="1:8" ht="19.5" customHeight="1" x14ac:dyDescent="0.25">
      <c r="A62" s="187" t="s">
        <v>250</v>
      </c>
      <c r="B62" s="296"/>
      <c r="C62" s="374"/>
      <c r="D62" s="376" t="s">
        <v>263</v>
      </c>
      <c r="E62" s="301">
        <v>1.3100000000000001E-2</v>
      </c>
      <c r="F62" s="247">
        <f>E62*$B$66</f>
        <v>0</v>
      </c>
      <c r="G62" s="124"/>
      <c r="H62" s="151"/>
    </row>
    <row r="63" spans="1:8" ht="15.75" customHeight="1" x14ac:dyDescent="0.25">
      <c r="A63" s="192" t="s">
        <v>241</v>
      </c>
      <c r="B63" s="229"/>
      <c r="C63" s="374" t="s">
        <v>5</v>
      </c>
      <c r="D63" s="377" t="s">
        <v>225</v>
      </c>
      <c r="E63" s="226">
        <v>2.5999999999999999E-2</v>
      </c>
      <c r="F63" s="218">
        <f>$B$74*E63</f>
        <v>0</v>
      </c>
      <c r="G63" s="124"/>
      <c r="H63" s="151"/>
    </row>
    <row r="64" spans="1:8" ht="17.25" customHeight="1" x14ac:dyDescent="0.25">
      <c r="A64" s="232" t="s">
        <v>282</v>
      </c>
      <c r="B64" s="234"/>
      <c r="C64" s="235"/>
      <c r="D64" s="350" t="s">
        <v>203</v>
      </c>
      <c r="E64" s="210"/>
      <c r="F64" s="214">
        <f>SUM(F58:F63)</f>
        <v>0</v>
      </c>
      <c r="G64" s="124"/>
      <c r="H64" s="151"/>
    </row>
    <row r="65" spans="1:8" ht="18.75" customHeight="1" x14ac:dyDescent="0.25">
      <c r="A65" s="233" t="s">
        <v>224</v>
      </c>
      <c r="B65" s="198"/>
      <c r="C65" s="235" t="s">
        <v>2</v>
      </c>
      <c r="D65" s="356" t="s">
        <v>352</v>
      </c>
      <c r="E65" s="209"/>
      <c r="F65" s="215">
        <f>F54-F64</f>
        <v>0</v>
      </c>
      <c r="G65" s="124"/>
      <c r="H65" s="151"/>
    </row>
    <row r="66" spans="1:8" ht="20.25" customHeight="1" x14ac:dyDescent="0.25">
      <c r="A66" s="233" t="s">
        <v>279</v>
      </c>
      <c r="B66" s="198"/>
      <c r="C66" s="235" t="s">
        <v>54</v>
      </c>
      <c r="D66" s="357" t="s">
        <v>307</v>
      </c>
      <c r="E66" s="306"/>
      <c r="F66" s="332">
        <f>IF($B$67&gt;354211,0,IF(($B$67+F65)&lt;0,0,IF(($B$67+F65)&lt;93000,(F65*0.22)/(1-0.397),IF(AND(($B$67+F65)&gt;93000,($B$67+F65)&lt;354211),IF($B$67&lt;93000,((93000-$B$67)*0.22)/(1-0.397),(F65*0.38*0.22)/(1-0.397)),IF(AND($B$67&lt;354211,($B$67+F65)&gt;354211),((354211-$B$67)*0.38*0.22)/(1-0.397))))))</f>
        <v>0</v>
      </c>
      <c r="G66" s="124"/>
      <c r="H66" s="151"/>
    </row>
    <row r="67" spans="1:8" ht="18.75" customHeight="1" x14ac:dyDescent="0.25">
      <c r="A67" s="233" t="s">
        <v>308</v>
      </c>
      <c r="B67" s="198"/>
      <c r="C67" s="235" t="s">
        <v>54</v>
      </c>
      <c r="D67" s="358" t="s">
        <v>356</v>
      </c>
      <c r="E67" s="216"/>
      <c r="F67" s="333">
        <f>F65+F66</f>
        <v>0</v>
      </c>
      <c r="G67" s="124"/>
      <c r="H67" s="151"/>
    </row>
    <row r="68" spans="1:8" ht="18.75" customHeight="1" thickBot="1" x14ac:dyDescent="0.3">
      <c r="A68" s="319" t="s">
        <v>280</v>
      </c>
      <c r="B68" s="228"/>
      <c r="C68" s="320" t="s">
        <v>281</v>
      </c>
      <c r="D68" s="359" t="s">
        <v>284</v>
      </c>
      <c r="E68" s="360"/>
      <c r="F68" s="361" t="str">
        <f>IF($B$68="","",$F$67/$B$68)</f>
        <v/>
      </c>
      <c r="G68" s="124"/>
      <c r="H68" s="151"/>
    </row>
    <row r="69" spans="1:8" ht="19.5" customHeight="1" x14ac:dyDescent="0.25">
      <c r="A69" s="232" t="s">
        <v>340</v>
      </c>
      <c r="B69" s="198"/>
      <c r="C69" s="338"/>
      <c r="D69" s="339" t="s">
        <v>355</v>
      </c>
      <c r="E69" s="326"/>
      <c r="F69" s="327"/>
      <c r="G69" s="124"/>
      <c r="H69" s="151"/>
    </row>
    <row r="70" spans="1:8" ht="15.75" customHeight="1" x14ac:dyDescent="0.25">
      <c r="A70" s="233" t="s">
        <v>341</v>
      </c>
      <c r="B70" s="198"/>
      <c r="C70" s="338" t="s">
        <v>2</v>
      </c>
      <c r="D70" s="340" t="s">
        <v>64</v>
      </c>
      <c r="E70" s="124"/>
      <c r="F70" s="173"/>
      <c r="G70" s="124"/>
      <c r="H70" s="151"/>
    </row>
    <row r="71" spans="1:8" ht="15.75" customHeight="1" x14ac:dyDescent="0.25">
      <c r="A71" s="233" t="s">
        <v>342</v>
      </c>
      <c r="B71" s="198"/>
      <c r="C71" s="338" t="s">
        <v>2</v>
      </c>
      <c r="D71" s="340" t="s">
        <v>258</v>
      </c>
      <c r="E71" s="124"/>
      <c r="F71" s="162"/>
      <c r="G71" s="124"/>
      <c r="H71" s="151"/>
    </row>
    <row r="72" spans="1:8" ht="15.75" customHeight="1" x14ac:dyDescent="0.25">
      <c r="A72" s="233" t="s">
        <v>343</v>
      </c>
      <c r="B72" s="336"/>
      <c r="C72" s="338" t="s">
        <v>345</v>
      </c>
      <c r="D72" s="340" t="s">
        <v>362</v>
      </c>
      <c r="E72" s="148"/>
      <c r="F72" s="162"/>
      <c r="G72" s="124"/>
      <c r="H72" s="151"/>
    </row>
    <row r="73" spans="1:8" ht="15.75" customHeight="1" thickBot="1" x14ac:dyDescent="0.3">
      <c r="A73" s="233" t="s">
        <v>344</v>
      </c>
      <c r="B73" s="336"/>
      <c r="C73" s="338" t="s">
        <v>345</v>
      </c>
      <c r="D73" s="362" t="s">
        <v>374</v>
      </c>
      <c r="E73" s="148"/>
      <c r="F73" s="162"/>
      <c r="G73" s="124"/>
      <c r="H73" s="151"/>
    </row>
    <row r="74" spans="1:8" ht="28.5" customHeight="1" thickBot="1" x14ac:dyDescent="0.3">
      <c r="A74" s="364" t="s">
        <v>338</v>
      </c>
      <c r="B74" s="365"/>
      <c r="C74" s="366" t="s">
        <v>200</v>
      </c>
      <c r="D74" s="363" t="s">
        <v>375</v>
      </c>
      <c r="E74" s="153"/>
      <c r="F74" s="243"/>
      <c r="G74" s="124"/>
      <c r="H74" s="151"/>
    </row>
    <row r="75" spans="1:8" ht="15.75" customHeight="1" thickBot="1" x14ac:dyDescent="0.25">
      <c r="A75" s="236"/>
      <c r="B75" s="236"/>
      <c r="C75" s="236"/>
      <c r="G75" s="153"/>
      <c r="H75" s="154"/>
    </row>
    <row r="76" spans="1:8" ht="15.75" customHeight="1" x14ac:dyDescent="0.2">
      <c r="A76" s="236"/>
      <c r="B76" s="236"/>
      <c r="C76" s="236"/>
      <c r="D76" s="164"/>
      <c r="E76" s="164"/>
      <c r="F76" s="164"/>
    </row>
    <row r="77" spans="1:8" x14ac:dyDescent="0.2">
      <c r="A77" s="236"/>
      <c r="B77" s="236"/>
      <c r="C77" s="236"/>
      <c r="D77" s="164"/>
      <c r="E77" s="164"/>
      <c r="F77" s="164"/>
    </row>
    <row r="78" spans="1:8" x14ac:dyDescent="0.2">
      <c r="E78" s="160"/>
    </row>
    <row r="102" spans="4:8" s="174" customFormat="1" x14ac:dyDescent="0.2">
      <c r="F102" s="305"/>
    </row>
    <row r="108" spans="4:8" x14ac:dyDescent="0.2">
      <c r="D108" s="175"/>
    </row>
    <row r="111" spans="4:8" ht="17.25" customHeight="1" x14ac:dyDescent="0.2">
      <c r="G111" s="149"/>
      <c r="H111" s="150"/>
    </row>
    <row r="112" spans="4:8" ht="17.25" customHeight="1" x14ac:dyDescent="0.2">
      <c r="G112" s="149"/>
      <c r="H112" s="150"/>
    </row>
    <row r="113" spans="7:8" ht="17.25" customHeight="1" x14ac:dyDescent="0.2">
      <c r="G113" s="152"/>
      <c r="H113" s="150"/>
    </row>
    <row r="114" spans="7:8" ht="15.75" customHeight="1" x14ac:dyDescent="0.2">
      <c r="G114" s="139"/>
      <c r="H114" s="130">
        <v>500</v>
      </c>
    </row>
    <row r="115" spans="7:8" ht="15.75" customHeight="1" x14ac:dyDescent="0.2">
      <c r="G115" s="143"/>
      <c r="H115" s="142" t="e">
        <f>SUM(H23:H114)</f>
        <v>#REF!</v>
      </c>
    </row>
    <row r="116" spans="7:8" ht="17.25" customHeight="1" x14ac:dyDescent="0.2">
      <c r="G116" s="124"/>
      <c r="H116" s="151"/>
    </row>
    <row r="123" spans="7:8" ht="17.25" customHeight="1" x14ac:dyDescent="0.2">
      <c r="G123" s="124"/>
      <c r="H123" s="151"/>
    </row>
    <row r="124" spans="7:8" ht="15.75" customHeight="1" x14ac:dyDescent="0.2">
      <c r="G124" s="124"/>
      <c r="H124" s="151"/>
    </row>
    <row r="125" spans="7:8" ht="15.75" customHeight="1" x14ac:dyDescent="0.2">
      <c r="G125" s="124"/>
      <c r="H125" s="151"/>
    </row>
    <row r="126" spans="7:8" ht="15.75" customHeight="1" x14ac:dyDescent="0.2">
      <c r="G126" s="124"/>
      <c r="H126" s="151"/>
    </row>
    <row r="127" spans="7:8" ht="15.75" customHeight="1" x14ac:dyDescent="0.2">
      <c r="G127" s="124"/>
      <c r="H127" s="151"/>
    </row>
    <row r="128" spans="7:8" ht="15.75" customHeight="1" x14ac:dyDescent="0.2">
      <c r="G128" s="139" t="s">
        <v>164</v>
      </c>
      <c r="H128" s="130" t="e">
        <f>#REF!*0+#REF!*0</f>
        <v>#REF!</v>
      </c>
    </row>
    <row r="129" spans="7:8" ht="15.75" customHeight="1" x14ac:dyDescent="0.2">
      <c r="G129" s="124"/>
      <c r="H129" s="151"/>
    </row>
    <row r="130" spans="7:8" ht="12.75" customHeight="1" x14ac:dyDescent="0.2">
      <c r="G130" s="129">
        <v>0</v>
      </c>
      <c r="H130" s="130" t="e">
        <f>#REF!*G130</f>
        <v>#REF!</v>
      </c>
    </row>
    <row r="131" spans="7:8" ht="16.5" customHeight="1" x14ac:dyDescent="0.2">
      <c r="G131" s="129">
        <v>-0.8</v>
      </c>
      <c r="H131" s="130">
        <f>B17*G131</f>
        <v>0</v>
      </c>
    </row>
    <row r="132" spans="7:8" ht="12.75" customHeight="1" x14ac:dyDescent="0.2">
      <c r="G132" s="129">
        <v>3</v>
      </c>
      <c r="H132" s="130">
        <f>B18*G132</f>
        <v>0</v>
      </c>
    </row>
    <row r="151" spans="1:3" x14ac:dyDescent="0.2">
      <c r="A151" s="236"/>
      <c r="B151" s="236"/>
      <c r="C151" s="236"/>
    </row>
    <row r="152" spans="1:3" x14ac:dyDescent="0.2">
      <c r="A152" s="236"/>
      <c r="B152" s="236"/>
      <c r="C152" s="236"/>
    </row>
    <row r="153" spans="1:3" x14ac:dyDescent="0.2">
      <c r="A153" s="236"/>
      <c r="B153" s="236"/>
      <c r="C153" s="236"/>
    </row>
    <row r="154" spans="1:3" x14ac:dyDescent="0.2">
      <c r="A154" s="236"/>
      <c r="B154" s="236"/>
      <c r="C154" s="236"/>
    </row>
    <row r="155" spans="1:3" x14ac:dyDescent="0.2">
      <c r="A155" s="236"/>
      <c r="B155" s="236"/>
      <c r="C155" s="236"/>
    </row>
    <row r="156" spans="1:3" x14ac:dyDescent="0.2">
      <c r="A156" s="236"/>
      <c r="B156" s="236"/>
      <c r="C156" s="236"/>
    </row>
    <row r="157" spans="1:3" x14ac:dyDescent="0.2">
      <c r="A157" s="236"/>
      <c r="B157" s="236"/>
      <c r="C157" s="236"/>
    </row>
    <row r="158" spans="1:3" x14ac:dyDescent="0.2">
      <c r="A158" s="236"/>
      <c r="B158" s="236"/>
      <c r="C158" s="236"/>
    </row>
    <row r="159" spans="1:3" x14ac:dyDescent="0.2">
      <c r="A159" s="236"/>
      <c r="B159" s="236"/>
      <c r="C159" s="236"/>
    </row>
    <row r="160" spans="1:3" x14ac:dyDescent="0.2">
      <c r="A160" s="236"/>
      <c r="B160" s="236"/>
      <c r="C160" s="236"/>
    </row>
    <row r="161" spans="1:3" x14ac:dyDescent="0.2">
      <c r="A161" s="236"/>
      <c r="B161" s="236"/>
      <c r="C161" s="236"/>
    </row>
    <row r="162" spans="1:3" x14ac:dyDescent="0.2">
      <c r="A162" s="236"/>
      <c r="B162" s="236"/>
      <c r="C162" s="236"/>
    </row>
    <row r="163" spans="1:3" x14ac:dyDescent="0.2">
      <c r="A163" s="236"/>
      <c r="B163" s="236"/>
      <c r="C163" s="236"/>
    </row>
    <row r="164" spans="1:3" x14ac:dyDescent="0.2">
      <c r="A164" s="236"/>
      <c r="B164" s="236"/>
      <c r="C164" s="236"/>
    </row>
    <row r="165" spans="1:3" x14ac:dyDescent="0.2">
      <c r="A165" s="236"/>
      <c r="B165" s="236"/>
      <c r="C165" s="236"/>
    </row>
    <row r="166" spans="1:3" x14ac:dyDescent="0.2">
      <c r="A166" s="236"/>
      <c r="B166" s="236"/>
      <c r="C166" s="236"/>
    </row>
    <row r="167" spans="1:3" x14ac:dyDescent="0.2">
      <c r="A167" s="236"/>
      <c r="B167" s="236"/>
      <c r="C167" s="236"/>
    </row>
    <row r="168" spans="1:3" x14ac:dyDescent="0.2">
      <c r="A168" s="236"/>
      <c r="B168" s="236"/>
      <c r="C168" s="236"/>
    </row>
    <row r="169" spans="1:3" x14ac:dyDescent="0.2">
      <c r="A169" s="236"/>
      <c r="B169" s="236"/>
      <c r="C169" s="236"/>
    </row>
    <row r="170" spans="1:3" x14ac:dyDescent="0.2">
      <c r="A170" s="236"/>
      <c r="B170" s="236"/>
      <c r="C170" s="236"/>
    </row>
    <row r="171" spans="1:3" x14ac:dyDescent="0.2">
      <c r="A171" s="236"/>
      <c r="B171" s="236"/>
      <c r="C171" s="236"/>
    </row>
    <row r="172" spans="1:3" x14ac:dyDescent="0.2">
      <c r="A172" s="236"/>
      <c r="B172" s="236"/>
      <c r="C172" s="236"/>
    </row>
    <row r="173" spans="1:3" x14ac:dyDescent="0.2">
      <c r="A173" s="236"/>
      <c r="B173" s="236"/>
      <c r="C173" s="236"/>
    </row>
    <row r="174" spans="1:3" x14ac:dyDescent="0.2">
      <c r="A174" s="236"/>
      <c r="B174" s="236"/>
      <c r="C174" s="236"/>
    </row>
    <row r="175" spans="1:3" x14ac:dyDescent="0.2">
      <c r="A175" s="236"/>
      <c r="B175" s="236"/>
      <c r="C175" s="236"/>
    </row>
    <row r="176" spans="1:3" x14ac:dyDescent="0.2">
      <c r="A176" s="236"/>
      <c r="B176" s="236"/>
      <c r="C176" s="236"/>
    </row>
    <row r="177" spans="1:3" x14ac:dyDescent="0.2">
      <c r="A177" s="236"/>
      <c r="B177" s="236"/>
      <c r="C177" s="236"/>
    </row>
    <row r="178" spans="1:3" x14ac:dyDescent="0.2">
      <c r="A178" s="236"/>
      <c r="B178" s="236"/>
      <c r="C178" s="236"/>
    </row>
    <row r="179" spans="1:3" x14ac:dyDescent="0.2">
      <c r="A179" s="236"/>
      <c r="B179" s="236"/>
      <c r="C179" s="236"/>
    </row>
    <row r="180" spans="1:3" x14ac:dyDescent="0.2">
      <c r="A180" s="236"/>
      <c r="B180" s="236"/>
      <c r="C180" s="236"/>
    </row>
    <row r="181" spans="1:3" x14ac:dyDescent="0.2">
      <c r="A181" s="236"/>
      <c r="B181" s="236"/>
      <c r="C181" s="236"/>
    </row>
    <row r="182" spans="1:3" x14ac:dyDescent="0.2">
      <c r="A182" s="236"/>
      <c r="B182" s="236"/>
      <c r="C182" s="236"/>
    </row>
    <row r="183" spans="1:3" x14ac:dyDescent="0.2">
      <c r="A183" s="236"/>
      <c r="B183" s="236"/>
      <c r="C183" s="236"/>
    </row>
    <row r="184" spans="1:3" x14ac:dyDescent="0.2">
      <c r="A184" s="236"/>
      <c r="B184" s="236"/>
      <c r="C184" s="236"/>
    </row>
    <row r="185" spans="1:3" x14ac:dyDescent="0.2">
      <c r="A185" s="236"/>
      <c r="B185" s="236"/>
      <c r="C185" s="236"/>
    </row>
    <row r="186" spans="1:3" x14ac:dyDescent="0.2">
      <c r="A186" s="236"/>
      <c r="B186" s="236"/>
      <c r="C186" s="236"/>
    </row>
    <row r="187" spans="1:3" x14ac:dyDescent="0.2">
      <c r="A187" s="236"/>
      <c r="B187" s="236"/>
      <c r="C187" s="236"/>
    </row>
    <row r="188" spans="1:3" x14ac:dyDescent="0.2">
      <c r="A188" s="236"/>
      <c r="B188" s="236"/>
      <c r="C188" s="236"/>
    </row>
    <row r="189" spans="1:3" x14ac:dyDescent="0.2">
      <c r="A189" s="236"/>
      <c r="B189" s="236"/>
      <c r="C189" s="236"/>
    </row>
    <row r="190" spans="1:3" x14ac:dyDescent="0.2">
      <c r="A190" s="236"/>
      <c r="B190" s="236"/>
      <c r="C190" s="236"/>
    </row>
    <row r="191" spans="1:3" x14ac:dyDescent="0.2">
      <c r="A191" s="236"/>
      <c r="B191" s="236"/>
      <c r="C191" s="236"/>
    </row>
    <row r="192" spans="1:3" x14ac:dyDescent="0.2">
      <c r="A192" s="236"/>
      <c r="B192" s="236"/>
      <c r="C192" s="236"/>
    </row>
    <row r="193" spans="1:3" x14ac:dyDescent="0.2">
      <c r="A193" s="236"/>
      <c r="B193" s="236"/>
      <c r="C193" s="236"/>
    </row>
    <row r="194" spans="1:3" x14ac:dyDescent="0.2">
      <c r="A194" s="236"/>
      <c r="B194" s="236"/>
      <c r="C194" s="236"/>
    </row>
    <row r="195" spans="1:3" x14ac:dyDescent="0.2">
      <c r="A195" s="236"/>
      <c r="B195" s="236"/>
      <c r="C195" s="236"/>
    </row>
    <row r="196" spans="1:3" x14ac:dyDescent="0.2">
      <c r="A196" s="236"/>
      <c r="B196" s="236"/>
      <c r="C196" s="236"/>
    </row>
    <row r="197" spans="1:3" x14ac:dyDescent="0.2">
      <c r="A197" s="236"/>
      <c r="B197" s="236"/>
      <c r="C197" s="236"/>
    </row>
    <row r="198" spans="1:3" x14ac:dyDescent="0.2">
      <c r="A198" s="236"/>
      <c r="B198" s="236"/>
      <c r="C198" s="236"/>
    </row>
    <row r="199" spans="1:3" x14ac:dyDescent="0.2">
      <c r="A199" s="236"/>
      <c r="B199" s="236"/>
      <c r="C199" s="236"/>
    </row>
    <row r="200" spans="1:3" x14ac:dyDescent="0.2">
      <c r="A200" s="236"/>
      <c r="B200" s="236"/>
      <c r="C200" s="236"/>
    </row>
    <row r="201" spans="1:3" x14ac:dyDescent="0.2">
      <c r="A201" s="236"/>
      <c r="B201" s="236"/>
      <c r="C201" s="236"/>
    </row>
    <row r="202" spans="1:3" x14ac:dyDescent="0.2">
      <c r="A202" s="236"/>
      <c r="B202" s="236"/>
      <c r="C202" s="236"/>
    </row>
    <row r="203" spans="1:3" x14ac:dyDescent="0.2">
      <c r="A203" s="236"/>
      <c r="B203" s="236"/>
      <c r="C203" s="236"/>
    </row>
    <row r="204" spans="1:3" x14ac:dyDescent="0.2">
      <c r="A204" s="236"/>
      <c r="B204" s="236"/>
      <c r="C204" s="236"/>
    </row>
    <row r="205" spans="1:3" x14ac:dyDescent="0.2">
      <c r="A205" s="236"/>
      <c r="B205" s="236"/>
      <c r="C205" s="236"/>
    </row>
    <row r="206" spans="1:3" x14ac:dyDescent="0.2">
      <c r="A206" s="236"/>
      <c r="B206" s="236"/>
      <c r="C206" s="236"/>
    </row>
    <row r="207" spans="1:3" x14ac:dyDescent="0.2">
      <c r="A207" s="236"/>
      <c r="B207" s="236"/>
      <c r="C207" s="236"/>
    </row>
    <row r="208" spans="1:3" x14ac:dyDescent="0.2">
      <c r="A208" s="236"/>
      <c r="B208" s="236"/>
      <c r="C208" s="236"/>
    </row>
    <row r="209" spans="1:3" x14ac:dyDescent="0.2">
      <c r="A209" s="236"/>
      <c r="B209" s="236"/>
      <c r="C209" s="236"/>
    </row>
    <row r="210" spans="1:3" x14ac:dyDescent="0.2">
      <c r="A210" s="236"/>
      <c r="B210" s="236"/>
      <c r="C210" s="236"/>
    </row>
    <row r="211" spans="1:3" x14ac:dyDescent="0.2">
      <c r="A211" s="236"/>
      <c r="B211" s="236"/>
      <c r="C211" s="236"/>
    </row>
    <row r="212" spans="1:3" x14ac:dyDescent="0.2">
      <c r="A212" s="236"/>
      <c r="B212" s="236"/>
      <c r="C212" s="236"/>
    </row>
    <row r="213" spans="1:3" x14ac:dyDescent="0.2">
      <c r="A213" s="236"/>
      <c r="B213" s="236"/>
      <c r="C213" s="236"/>
    </row>
    <row r="214" spans="1:3" x14ac:dyDescent="0.2">
      <c r="A214" s="236"/>
      <c r="B214" s="236"/>
      <c r="C214" s="236"/>
    </row>
    <row r="215" spans="1:3" x14ac:dyDescent="0.2">
      <c r="A215" s="236"/>
      <c r="B215" s="236"/>
      <c r="C215" s="236"/>
    </row>
    <row r="216" spans="1:3" x14ac:dyDescent="0.2">
      <c r="A216" s="236"/>
      <c r="B216" s="236"/>
      <c r="C216" s="236"/>
    </row>
    <row r="217" spans="1:3" x14ac:dyDescent="0.2">
      <c r="A217" s="236"/>
      <c r="B217" s="236"/>
      <c r="C217" s="236"/>
    </row>
    <row r="218" spans="1:3" x14ac:dyDescent="0.2">
      <c r="A218" s="236"/>
      <c r="B218" s="236"/>
      <c r="C218" s="236"/>
    </row>
    <row r="219" spans="1:3" x14ac:dyDescent="0.2">
      <c r="A219" s="236"/>
      <c r="B219" s="236"/>
      <c r="C219" s="236"/>
    </row>
    <row r="220" spans="1:3" x14ac:dyDescent="0.2">
      <c r="A220" s="236"/>
      <c r="B220" s="236"/>
      <c r="C220" s="236"/>
    </row>
    <row r="221" spans="1:3" x14ac:dyDescent="0.2">
      <c r="A221" s="236"/>
      <c r="B221" s="236"/>
      <c r="C221" s="236"/>
    </row>
    <row r="222" spans="1:3" x14ac:dyDescent="0.2">
      <c r="A222" s="236"/>
      <c r="B222" s="236"/>
      <c r="C222" s="236"/>
    </row>
    <row r="223" spans="1:3" x14ac:dyDescent="0.2">
      <c r="A223" s="236"/>
      <c r="B223" s="236"/>
      <c r="C223" s="236"/>
    </row>
    <row r="224" spans="1:3" x14ac:dyDescent="0.2">
      <c r="A224" s="236"/>
      <c r="B224" s="236"/>
      <c r="C224" s="236"/>
    </row>
    <row r="225" spans="1:3" x14ac:dyDescent="0.2">
      <c r="A225" s="236"/>
      <c r="B225" s="236"/>
      <c r="C225" s="236"/>
    </row>
    <row r="226" spans="1:3" x14ac:dyDescent="0.2">
      <c r="A226" s="236"/>
      <c r="B226" s="236"/>
      <c r="C226" s="236"/>
    </row>
    <row r="227" spans="1:3" x14ac:dyDescent="0.2">
      <c r="A227" s="236"/>
      <c r="B227" s="236"/>
      <c r="C227" s="236"/>
    </row>
    <row r="228" spans="1:3" x14ac:dyDescent="0.2">
      <c r="A228" s="236"/>
      <c r="B228" s="236"/>
      <c r="C228" s="236"/>
    </row>
    <row r="229" spans="1:3" x14ac:dyDescent="0.2">
      <c r="A229" s="236"/>
      <c r="B229" s="236"/>
      <c r="C229" s="236"/>
    </row>
    <row r="230" spans="1:3" x14ac:dyDescent="0.2">
      <c r="A230" s="236"/>
      <c r="B230" s="236"/>
      <c r="C230" s="236"/>
    </row>
    <row r="231" spans="1:3" x14ac:dyDescent="0.2">
      <c r="A231" s="236"/>
      <c r="B231" s="236"/>
      <c r="C231" s="236"/>
    </row>
    <row r="232" spans="1:3" x14ac:dyDescent="0.2">
      <c r="A232" s="236"/>
      <c r="B232" s="236"/>
      <c r="C232" s="236"/>
    </row>
    <row r="233" spans="1:3" x14ac:dyDescent="0.2">
      <c r="A233" s="236"/>
      <c r="B233" s="236"/>
      <c r="C233" s="236"/>
    </row>
    <row r="234" spans="1:3" x14ac:dyDescent="0.2">
      <c r="A234" s="236"/>
      <c r="B234" s="236"/>
      <c r="C234" s="236"/>
    </row>
    <row r="235" spans="1:3" x14ac:dyDescent="0.2">
      <c r="A235" s="236"/>
      <c r="B235" s="236"/>
      <c r="C235" s="236"/>
    </row>
    <row r="236" spans="1:3" x14ac:dyDescent="0.2">
      <c r="A236" s="236"/>
      <c r="B236" s="236"/>
      <c r="C236" s="236"/>
    </row>
    <row r="237" spans="1:3" x14ac:dyDescent="0.2">
      <c r="A237" s="236"/>
      <c r="B237" s="236"/>
      <c r="C237" s="236"/>
    </row>
    <row r="238" spans="1:3" x14ac:dyDescent="0.2">
      <c r="A238" s="236"/>
      <c r="B238" s="236"/>
      <c r="C238" s="236"/>
    </row>
    <row r="239" spans="1:3" x14ac:dyDescent="0.2">
      <c r="A239" s="236"/>
      <c r="B239" s="236"/>
      <c r="C239" s="236"/>
    </row>
    <row r="240" spans="1:3" x14ac:dyDescent="0.2">
      <c r="A240" s="236"/>
      <c r="B240" s="236"/>
      <c r="C240" s="236"/>
    </row>
    <row r="241" spans="1:3" x14ac:dyDescent="0.2">
      <c r="A241" s="236"/>
      <c r="B241" s="236"/>
      <c r="C241" s="236"/>
    </row>
    <row r="242" spans="1:3" x14ac:dyDescent="0.2">
      <c r="A242" s="236"/>
      <c r="B242" s="236"/>
      <c r="C242" s="236"/>
    </row>
    <row r="243" spans="1:3" x14ac:dyDescent="0.2">
      <c r="A243" s="236"/>
      <c r="B243" s="236"/>
      <c r="C243" s="236"/>
    </row>
    <row r="244" spans="1:3" x14ac:dyDescent="0.2">
      <c r="A244" s="236"/>
      <c r="B244" s="236"/>
      <c r="C244" s="236"/>
    </row>
    <row r="245" spans="1:3" x14ac:dyDescent="0.2">
      <c r="A245" s="236"/>
      <c r="B245" s="236"/>
      <c r="C245" s="236"/>
    </row>
    <row r="246" spans="1:3" x14ac:dyDescent="0.2">
      <c r="A246" s="236"/>
      <c r="B246" s="236"/>
      <c r="C246" s="236"/>
    </row>
    <row r="247" spans="1:3" x14ac:dyDescent="0.2">
      <c r="A247" s="236"/>
      <c r="B247" s="236"/>
      <c r="C247" s="236"/>
    </row>
    <row r="248" spans="1:3" x14ac:dyDescent="0.2">
      <c r="A248" s="236"/>
      <c r="B248" s="236"/>
      <c r="C248" s="236"/>
    </row>
    <row r="249" spans="1:3" x14ac:dyDescent="0.2">
      <c r="A249" s="236"/>
      <c r="B249" s="236"/>
      <c r="C249" s="236"/>
    </row>
    <row r="250" spans="1:3" x14ac:dyDescent="0.2">
      <c r="A250" s="236"/>
      <c r="B250" s="236"/>
      <c r="C250" s="236"/>
    </row>
    <row r="251" spans="1:3" x14ac:dyDescent="0.2">
      <c r="A251" s="236"/>
      <c r="B251" s="236"/>
      <c r="C251" s="236"/>
    </row>
    <row r="252" spans="1:3" x14ac:dyDescent="0.2">
      <c r="A252" s="236"/>
      <c r="B252" s="236"/>
      <c r="C252" s="236"/>
    </row>
    <row r="253" spans="1:3" x14ac:dyDescent="0.2">
      <c r="A253" s="236"/>
      <c r="B253" s="236"/>
      <c r="C253" s="236"/>
    </row>
    <row r="254" spans="1:3" x14ac:dyDescent="0.2">
      <c r="A254" s="236"/>
      <c r="B254" s="236"/>
      <c r="C254" s="236"/>
    </row>
    <row r="255" spans="1:3" x14ac:dyDescent="0.2">
      <c r="A255" s="236"/>
      <c r="B255" s="236"/>
      <c r="C255" s="236"/>
    </row>
    <row r="256" spans="1:3" x14ac:dyDescent="0.2">
      <c r="A256" s="236"/>
      <c r="B256" s="236"/>
      <c r="C256" s="236"/>
    </row>
    <row r="257" spans="1:3" x14ac:dyDescent="0.2">
      <c r="A257" s="236"/>
      <c r="B257" s="236"/>
      <c r="C257" s="236"/>
    </row>
    <row r="258" spans="1:3" x14ac:dyDescent="0.2">
      <c r="A258" s="236"/>
      <c r="B258" s="236"/>
      <c r="C258" s="236"/>
    </row>
    <row r="259" spans="1:3" x14ac:dyDescent="0.2">
      <c r="A259" s="236"/>
      <c r="B259" s="236"/>
      <c r="C259" s="236"/>
    </row>
    <row r="260" spans="1:3" x14ac:dyDescent="0.2">
      <c r="A260" s="236"/>
      <c r="B260" s="236"/>
      <c r="C260" s="236"/>
    </row>
    <row r="261" spans="1:3" x14ac:dyDescent="0.2">
      <c r="A261" s="236"/>
      <c r="B261" s="236"/>
      <c r="C261" s="236"/>
    </row>
    <row r="262" spans="1:3" x14ac:dyDescent="0.2">
      <c r="A262" s="236"/>
      <c r="B262" s="236"/>
      <c r="C262" s="236"/>
    </row>
    <row r="263" spans="1:3" x14ac:dyDescent="0.2">
      <c r="A263" s="236"/>
      <c r="B263" s="236"/>
      <c r="C263" s="236"/>
    </row>
    <row r="264" spans="1:3" x14ac:dyDescent="0.2">
      <c r="A264" s="236"/>
      <c r="B264" s="236"/>
      <c r="C264" s="236"/>
    </row>
    <row r="265" spans="1:3" x14ac:dyDescent="0.2">
      <c r="A265" s="236"/>
      <c r="B265" s="236"/>
      <c r="C265" s="236"/>
    </row>
    <row r="266" spans="1:3" x14ac:dyDescent="0.2">
      <c r="A266" s="236"/>
      <c r="B266" s="236"/>
      <c r="C266" s="236"/>
    </row>
    <row r="267" spans="1:3" x14ac:dyDescent="0.2">
      <c r="A267" s="236"/>
      <c r="B267" s="236"/>
      <c r="C267" s="236"/>
    </row>
    <row r="268" spans="1:3" x14ac:dyDescent="0.2">
      <c r="A268" s="236"/>
      <c r="B268" s="236"/>
      <c r="C268" s="236"/>
    </row>
    <row r="269" spans="1:3" x14ac:dyDescent="0.2">
      <c r="A269" s="236"/>
      <c r="B269" s="236"/>
      <c r="C269" s="236"/>
    </row>
    <row r="270" spans="1:3" x14ac:dyDescent="0.2">
      <c r="A270" s="236"/>
      <c r="B270" s="236"/>
      <c r="C270" s="236"/>
    </row>
    <row r="271" spans="1:3" x14ac:dyDescent="0.2">
      <c r="A271" s="236"/>
      <c r="B271" s="236"/>
      <c r="C271" s="236"/>
    </row>
    <row r="272" spans="1:3" x14ac:dyDescent="0.2">
      <c r="A272" s="236"/>
      <c r="B272" s="236"/>
      <c r="C272" s="236"/>
    </row>
    <row r="273" spans="1:3" x14ac:dyDescent="0.2">
      <c r="A273" s="236"/>
      <c r="B273" s="236"/>
      <c r="C273" s="236"/>
    </row>
    <row r="274" spans="1:3" x14ac:dyDescent="0.2">
      <c r="A274" s="236"/>
      <c r="B274" s="236"/>
      <c r="C274" s="236"/>
    </row>
    <row r="275" spans="1:3" x14ac:dyDescent="0.2">
      <c r="A275" s="236"/>
      <c r="B275" s="236"/>
      <c r="C275" s="236"/>
    </row>
    <row r="276" spans="1:3" x14ac:dyDescent="0.2">
      <c r="A276" s="236"/>
      <c r="B276" s="236"/>
      <c r="C276" s="236"/>
    </row>
    <row r="277" spans="1:3" x14ac:dyDescent="0.2">
      <c r="A277" s="236"/>
      <c r="B277" s="236"/>
      <c r="C277" s="236"/>
    </row>
    <row r="278" spans="1:3" x14ac:dyDescent="0.2">
      <c r="A278" s="236"/>
      <c r="B278" s="236"/>
      <c r="C278" s="236"/>
    </row>
    <row r="279" spans="1:3" x14ac:dyDescent="0.2">
      <c r="A279" s="236"/>
      <c r="B279" s="236"/>
      <c r="C279" s="236"/>
    </row>
    <row r="280" spans="1:3" x14ac:dyDescent="0.2">
      <c r="A280" s="236"/>
      <c r="B280" s="236"/>
      <c r="C280" s="236"/>
    </row>
    <row r="281" spans="1:3" x14ac:dyDescent="0.2">
      <c r="A281" s="236"/>
      <c r="B281" s="236"/>
      <c r="C281" s="236"/>
    </row>
    <row r="282" spans="1:3" x14ac:dyDescent="0.2">
      <c r="A282" s="236"/>
      <c r="B282" s="236"/>
      <c r="C282" s="236"/>
    </row>
    <row r="283" spans="1:3" x14ac:dyDescent="0.2">
      <c r="A283" s="236"/>
      <c r="B283" s="236"/>
      <c r="C283" s="236"/>
    </row>
    <row r="284" spans="1:3" x14ac:dyDescent="0.2">
      <c r="A284" s="236"/>
      <c r="B284" s="236"/>
      <c r="C284" s="236"/>
    </row>
    <row r="285" spans="1:3" x14ac:dyDescent="0.2">
      <c r="A285" s="236"/>
      <c r="B285" s="236"/>
      <c r="C285" s="236"/>
    </row>
    <row r="286" spans="1:3" x14ac:dyDescent="0.2">
      <c r="A286" s="236"/>
      <c r="B286" s="236"/>
      <c r="C286" s="236"/>
    </row>
    <row r="287" spans="1:3" x14ac:dyDescent="0.2">
      <c r="A287" s="236"/>
      <c r="B287" s="236"/>
      <c r="C287" s="236"/>
    </row>
    <row r="288" spans="1:3" x14ac:dyDescent="0.2">
      <c r="A288" s="236"/>
      <c r="B288" s="236"/>
      <c r="C288" s="236"/>
    </row>
    <row r="289" spans="1:3" x14ac:dyDescent="0.2">
      <c r="A289" s="236"/>
      <c r="B289" s="236"/>
      <c r="C289" s="236"/>
    </row>
    <row r="290" spans="1:3" x14ac:dyDescent="0.2">
      <c r="A290" s="236"/>
      <c r="B290" s="236"/>
      <c r="C290" s="236"/>
    </row>
    <row r="291" spans="1:3" x14ac:dyDescent="0.2">
      <c r="A291" s="236"/>
      <c r="B291" s="236"/>
      <c r="C291" s="236"/>
    </row>
    <row r="292" spans="1:3" x14ac:dyDescent="0.2">
      <c r="A292" s="236"/>
      <c r="B292" s="236"/>
      <c r="C292" s="236"/>
    </row>
    <row r="293" spans="1:3" x14ac:dyDescent="0.2">
      <c r="A293" s="236"/>
      <c r="B293" s="236"/>
      <c r="C293" s="236"/>
    </row>
    <row r="294" spans="1:3" x14ac:dyDescent="0.2">
      <c r="A294" s="236"/>
      <c r="B294" s="236"/>
      <c r="C294" s="236"/>
    </row>
    <row r="295" spans="1:3" x14ac:dyDescent="0.2">
      <c r="A295" s="236"/>
      <c r="B295" s="236"/>
      <c r="C295" s="236"/>
    </row>
    <row r="296" spans="1:3" x14ac:dyDescent="0.2">
      <c r="A296" s="236"/>
      <c r="B296" s="236"/>
      <c r="C296" s="236"/>
    </row>
    <row r="297" spans="1:3" x14ac:dyDescent="0.2">
      <c r="A297" s="236"/>
      <c r="B297" s="236"/>
      <c r="C297" s="236"/>
    </row>
    <row r="298" spans="1:3" x14ac:dyDescent="0.2">
      <c r="A298" s="236"/>
      <c r="B298" s="236"/>
      <c r="C298" s="236"/>
    </row>
    <row r="299" spans="1:3" x14ac:dyDescent="0.2">
      <c r="A299" s="236"/>
      <c r="B299" s="236"/>
      <c r="C299" s="236"/>
    </row>
    <row r="300" spans="1:3" x14ac:dyDescent="0.2">
      <c r="A300" s="236"/>
      <c r="B300" s="236"/>
      <c r="C300" s="236"/>
    </row>
    <row r="301" spans="1:3" x14ac:dyDescent="0.2">
      <c r="A301" s="236"/>
      <c r="B301" s="236"/>
      <c r="C301" s="236"/>
    </row>
    <row r="302" spans="1:3" x14ac:dyDescent="0.2">
      <c r="A302" s="236"/>
      <c r="B302" s="236"/>
      <c r="C302" s="236"/>
    </row>
    <row r="303" spans="1:3" x14ac:dyDescent="0.2">
      <c r="A303" s="236"/>
      <c r="B303" s="236"/>
      <c r="C303" s="236"/>
    </row>
    <row r="304" spans="1:3" x14ac:dyDescent="0.2">
      <c r="A304" s="236"/>
      <c r="B304" s="236"/>
      <c r="C304" s="236"/>
    </row>
    <row r="305" spans="1:3" x14ac:dyDescent="0.2">
      <c r="A305" s="236"/>
      <c r="B305" s="236"/>
      <c r="C305" s="236"/>
    </row>
    <row r="306" spans="1:3" x14ac:dyDescent="0.2">
      <c r="A306" s="236"/>
      <c r="B306" s="236"/>
      <c r="C306" s="236"/>
    </row>
    <row r="307" spans="1:3" x14ac:dyDescent="0.2">
      <c r="A307" s="236"/>
      <c r="B307" s="236"/>
      <c r="C307" s="236"/>
    </row>
    <row r="308" spans="1:3" x14ac:dyDescent="0.2">
      <c r="A308" s="236"/>
      <c r="B308" s="236"/>
      <c r="C308" s="236"/>
    </row>
    <row r="309" spans="1:3" x14ac:dyDescent="0.2">
      <c r="A309" s="236"/>
      <c r="B309" s="236"/>
      <c r="C309" s="236"/>
    </row>
    <row r="310" spans="1:3" x14ac:dyDescent="0.2">
      <c r="A310" s="236"/>
      <c r="B310" s="236"/>
      <c r="C310" s="236"/>
    </row>
    <row r="311" spans="1:3" x14ac:dyDescent="0.2">
      <c r="A311" s="236"/>
      <c r="B311" s="236"/>
      <c r="C311" s="236"/>
    </row>
    <row r="312" spans="1:3" x14ac:dyDescent="0.2">
      <c r="A312" s="236"/>
      <c r="B312" s="236"/>
      <c r="C312" s="236"/>
    </row>
    <row r="313" spans="1:3" x14ac:dyDescent="0.2">
      <c r="A313" s="236"/>
      <c r="B313" s="236"/>
      <c r="C313" s="236"/>
    </row>
    <row r="314" spans="1:3" x14ac:dyDescent="0.2">
      <c r="A314" s="236"/>
      <c r="B314" s="236"/>
      <c r="C314" s="236"/>
    </row>
    <row r="315" spans="1:3" x14ac:dyDescent="0.2">
      <c r="A315" s="236"/>
      <c r="B315" s="236"/>
      <c r="C315" s="236"/>
    </row>
    <row r="316" spans="1:3" x14ac:dyDescent="0.2">
      <c r="A316" s="236"/>
      <c r="B316" s="236"/>
      <c r="C316" s="236"/>
    </row>
    <row r="317" spans="1:3" x14ac:dyDescent="0.2">
      <c r="A317" s="236"/>
      <c r="B317" s="236"/>
      <c r="C317" s="236"/>
    </row>
    <row r="318" spans="1:3" x14ac:dyDescent="0.2">
      <c r="A318" s="236"/>
      <c r="B318" s="236"/>
      <c r="C318" s="236"/>
    </row>
    <row r="319" spans="1:3" x14ac:dyDescent="0.2">
      <c r="A319" s="236"/>
      <c r="B319" s="236"/>
      <c r="C319" s="236"/>
    </row>
    <row r="320" spans="1:3" x14ac:dyDescent="0.2">
      <c r="A320" s="236"/>
      <c r="B320" s="236"/>
      <c r="C320" s="236"/>
    </row>
    <row r="321" spans="1:3" x14ac:dyDescent="0.2">
      <c r="A321" s="236"/>
      <c r="B321" s="236"/>
      <c r="C321" s="236"/>
    </row>
    <row r="322" spans="1:3" x14ac:dyDescent="0.2">
      <c r="A322" s="236"/>
      <c r="B322" s="236"/>
      <c r="C322" s="236"/>
    </row>
    <row r="323" spans="1:3" x14ac:dyDescent="0.2">
      <c r="A323" s="236"/>
      <c r="B323" s="236"/>
      <c r="C323" s="236"/>
    </row>
    <row r="324" spans="1:3" x14ac:dyDescent="0.2">
      <c r="A324" s="236"/>
      <c r="B324" s="236"/>
      <c r="C324" s="236"/>
    </row>
    <row r="325" spans="1:3" x14ac:dyDescent="0.2">
      <c r="A325" s="236"/>
      <c r="B325" s="236"/>
      <c r="C325" s="236"/>
    </row>
    <row r="326" spans="1:3" x14ac:dyDescent="0.2">
      <c r="A326" s="236"/>
      <c r="B326" s="236"/>
      <c r="C326" s="236"/>
    </row>
    <row r="327" spans="1:3" x14ac:dyDescent="0.2">
      <c r="A327" s="236"/>
      <c r="B327" s="236"/>
      <c r="C327" s="236"/>
    </row>
    <row r="328" spans="1:3" x14ac:dyDescent="0.2">
      <c r="A328" s="236"/>
      <c r="B328" s="236"/>
      <c r="C328" s="236"/>
    </row>
    <row r="329" spans="1:3" x14ac:dyDescent="0.2">
      <c r="A329" s="236"/>
      <c r="B329" s="236"/>
      <c r="C329" s="236"/>
    </row>
    <row r="330" spans="1:3" x14ac:dyDescent="0.2">
      <c r="A330" s="122"/>
      <c r="B330" s="122"/>
      <c r="C330" s="122"/>
    </row>
    <row r="331" spans="1:3" x14ac:dyDescent="0.2">
      <c r="A331" s="122"/>
      <c r="B331" s="122"/>
      <c r="C331" s="122"/>
    </row>
    <row r="332" spans="1:3" x14ac:dyDescent="0.2">
      <c r="A332" s="122"/>
      <c r="B332" s="122"/>
      <c r="C332" s="122"/>
    </row>
    <row r="333" spans="1:3" x14ac:dyDescent="0.2">
      <c r="A333" s="122"/>
      <c r="B333" s="122"/>
      <c r="C333" s="122"/>
    </row>
    <row r="334" spans="1:3" x14ac:dyDescent="0.2">
      <c r="A334" s="122"/>
      <c r="B334" s="122"/>
      <c r="C334" s="122"/>
    </row>
    <row r="335" spans="1:3" x14ac:dyDescent="0.2">
      <c r="A335" s="122"/>
      <c r="B335" s="122"/>
      <c r="C335" s="122"/>
    </row>
    <row r="336" spans="1:3" x14ac:dyDescent="0.2">
      <c r="A336" s="122"/>
      <c r="B336" s="122"/>
      <c r="C336" s="122"/>
    </row>
    <row r="337" spans="1:3" x14ac:dyDescent="0.2">
      <c r="A337" s="122"/>
      <c r="B337" s="122"/>
      <c r="C337" s="122"/>
    </row>
    <row r="338" spans="1:3" x14ac:dyDescent="0.2">
      <c r="A338" s="122"/>
      <c r="B338" s="122"/>
      <c r="C338" s="122"/>
    </row>
    <row r="339" spans="1:3" x14ac:dyDescent="0.2">
      <c r="A339" s="122"/>
      <c r="B339" s="122"/>
      <c r="C339" s="122"/>
    </row>
    <row r="340" spans="1:3" x14ac:dyDescent="0.2">
      <c r="A340" s="122"/>
      <c r="B340" s="122"/>
      <c r="C340" s="122"/>
    </row>
    <row r="341" spans="1:3" x14ac:dyDescent="0.2">
      <c r="A341" s="122"/>
      <c r="B341" s="122"/>
      <c r="C341" s="122"/>
    </row>
    <row r="342" spans="1:3" x14ac:dyDescent="0.2">
      <c r="A342" s="122"/>
      <c r="B342" s="122"/>
      <c r="C342" s="122"/>
    </row>
    <row r="343" spans="1:3" x14ac:dyDescent="0.2">
      <c r="A343" s="122"/>
      <c r="B343" s="122"/>
      <c r="C343" s="122"/>
    </row>
    <row r="344" spans="1:3" x14ac:dyDescent="0.2">
      <c r="A344" s="122"/>
      <c r="B344" s="122"/>
      <c r="C344" s="122"/>
    </row>
    <row r="345" spans="1:3" x14ac:dyDescent="0.2">
      <c r="A345" s="122"/>
      <c r="B345" s="122"/>
      <c r="C345" s="122"/>
    </row>
    <row r="346" spans="1:3" x14ac:dyDescent="0.2">
      <c r="A346" s="122"/>
      <c r="B346" s="122"/>
      <c r="C346" s="122"/>
    </row>
    <row r="347" spans="1:3" x14ac:dyDescent="0.2">
      <c r="A347" s="122"/>
      <c r="B347" s="122"/>
      <c r="C347" s="122"/>
    </row>
    <row r="348" spans="1:3" x14ac:dyDescent="0.2">
      <c r="A348" s="122"/>
      <c r="B348" s="122"/>
      <c r="C348" s="122"/>
    </row>
    <row r="349" spans="1:3" x14ac:dyDescent="0.2">
      <c r="A349" s="122"/>
      <c r="B349" s="122"/>
      <c r="C349" s="122"/>
    </row>
    <row r="350" spans="1:3" x14ac:dyDescent="0.2">
      <c r="A350" s="122"/>
      <c r="B350" s="122"/>
      <c r="C350" s="122"/>
    </row>
    <row r="351" spans="1:3" x14ac:dyDescent="0.2">
      <c r="A351" s="122"/>
      <c r="B351" s="122"/>
      <c r="C351" s="122"/>
    </row>
    <row r="352" spans="1:3" x14ac:dyDescent="0.2">
      <c r="A352" s="122"/>
      <c r="B352" s="122"/>
      <c r="C352" s="122"/>
    </row>
    <row r="353" spans="1:3" x14ac:dyDescent="0.2">
      <c r="A353" s="122"/>
      <c r="B353" s="122"/>
      <c r="C353" s="122"/>
    </row>
    <row r="354" spans="1:3" x14ac:dyDescent="0.2">
      <c r="A354" s="122"/>
      <c r="B354" s="122"/>
      <c r="C354" s="122"/>
    </row>
    <row r="355" spans="1:3" x14ac:dyDescent="0.2">
      <c r="A355" s="122"/>
      <c r="B355" s="122"/>
      <c r="C355" s="122"/>
    </row>
    <row r="356" spans="1:3" x14ac:dyDescent="0.2">
      <c r="A356" s="122"/>
      <c r="B356" s="122"/>
      <c r="C356" s="122"/>
    </row>
    <row r="357" spans="1:3" x14ac:dyDescent="0.2">
      <c r="A357" s="122"/>
      <c r="B357" s="122"/>
      <c r="C357" s="122"/>
    </row>
    <row r="358" spans="1:3" x14ac:dyDescent="0.2">
      <c r="A358" s="122"/>
      <c r="B358" s="122"/>
      <c r="C358" s="122"/>
    </row>
    <row r="359" spans="1:3" x14ac:dyDescent="0.2">
      <c r="A359" s="122"/>
      <c r="B359" s="122"/>
      <c r="C359" s="122"/>
    </row>
    <row r="360" spans="1:3" x14ac:dyDescent="0.2">
      <c r="A360" s="122"/>
      <c r="B360" s="122"/>
      <c r="C360" s="122"/>
    </row>
    <row r="361" spans="1:3" x14ac:dyDescent="0.2">
      <c r="A361" s="122"/>
      <c r="B361" s="122"/>
      <c r="C361" s="122"/>
    </row>
    <row r="362" spans="1:3" x14ac:dyDescent="0.2">
      <c r="A362" s="122"/>
      <c r="B362" s="122"/>
      <c r="C362" s="122"/>
    </row>
    <row r="363" spans="1:3" x14ac:dyDescent="0.2">
      <c r="A363" s="122"/>
      <c r="B363" s="122"/>
      <c r="C363" s="122"/>
    </row>
    <row r="364" spans="1:3" x14ac:dyDescent="0.2">
      <c r="A364" s="122"/>
      <c r="B364" s="122"/>
      <c r="C364" s="122"/>
    </row>
    <row r="365" spans="1:3" x14ac:dyDescent="0.2">
      <c r="A365" s="122"/>
      <c r="B365" s="122"/>
      <c r="C365" s="122"/>
    </row>
    <row r="366" spans="1:3" x14ac:dyDescent="0.2">
      <c r="A366" s="122"/>
      <c r="B366" s="122"/>
      <c r="C366" s="122"/>
    </row>
    <row r="367" spans="1:3" x14ac:dyDescent="0.2">
      <c r="A367" s="122"/>
      <c r="B367" s="122"/>
      <c r="C367" s="122"/>
    </row>
    <row r="368" spans="1:3" x14ac:dyDescent="0.2">
      <c r="A368" s="122"/>
      <c r="B368" s="122"/>
      <c r="C368" s="122"/>
    </row>
    <row r="369" spans="1:3" x14ac:dyDescent="0.2">
      <c r="A369" s="122"/>
      <c r="B369" s="122"/>
      <c r="C369" s="122"/>
    </row>
    <row r="370" spans="1:3" x14ac:dyDescent="0.2">
      <c r="A370" s="122"/>
      <c r="B370" s="122"/>
      <c r="C370" s="122"/>
    </row>
    <row r="371" spans="1:3" x14ac:dyDescent="0.2">
      <c r="A371" s="122"/>
      <c r="B371" s="122"/>
      <c r="C371" s="122"/>
    </row>
    <row r="372" spans="1:3" x14ac:dyDescent="0.2">
      <c r="A372" s="122"/>
      <c r="B372" s="122"/>
      <c r="C372" s="122"/>
    </row>
    <row r="373" spans="1:3" x14ac:dyDescent="0.2">
      <c r="A373" s="122"/>
      <c r="B373" s="122"/>
      <c r="C373" s="122"/>
    </row>
    <row r="374" spans="1:3" x14ac:dyDescent="0.2">
      <c r="A374" s="122"/>
      <c r="B374" s="122"/>
      <c r="C374" s="122"/>
    </row>
    <row r="375" spans="1:3" x14ac:dyDescent="0.2">
      <c r="A375" s="122"/>
      <c r="B375" s="122"/>
      <c r="C375" s="122"/>
    </row>
    <row r="376" spans="1:3" x14ac:dyDescent="0.2">
      <c r="A376" s="122"/>
      <c r="B376" s="122"/>
      <c r="C376" s="122"/>
    </row>
    <row r="377" spans="1:3" x14ac:dyDescent="0.2">
      <c r="A377" s="122"/>
      <c r="B377" s="122"/>
      <c r="C377" s="122"/>
    </row>
    <row r="378" spans="1:3" x14ac:dyDescent="0.2">
      <c r="A378" s="122"/>
      <c r="B378" s="122"/>
      <c r="C378" s="122"/>
    </row>
    <row r="379" spans="1:3" x14ac:dyDescent="0.2">
      <c r="A379" s="122"/>
      <c r="B379" s="122"/>
      <c r="C379" s="122"/>
    </row>
    <row r="380" spans="1:3" x14ac:dyDescent="0.2">
      <c r="A380" s="122"/>
      <c r="B380" s="122"/>
      <c r="C380" s="122"/>
    </row>
    <row r="381" spans="1:3" x14ac:dyDescent="0.2">
      <c r="A381" s="122"/>
      <c r="B381" s="122"/>
      <c r="C381" s="122"/>
    </row>
    <row r="382" spans="1:3" x14ac:dyDescent="0.2">
      <c r="A382" s="122"/>
      <c r="B382" s="122"/>
      <c r="C382" s="122"/>
    </row>
    <row r="383" spans="1:3" x14ac:dyDescent="0.2">
      <c r="A383" s="122"/>
      <c r="B383" s="122"/>
      <c r="C383" s="122"/>
    </row>
    <row r="384" spans="1:3" x14ac:dyDescent="0.2">
      <c r="A384" s="122"/>
      <c r="B384" s="122"/>
      <c r="C384" s="122"/>
    </row>
    <row r="385" spans="1:3" x14ac:dyDescent="0.2">
      <c r="A385" s="122"/>
      <c r="B385" s="122"/>
      <c r="C385" s="122"/>
    </row>
    <row r="386" spans="1:3" x14ac:dyDescent="0.2">
      <c r="A386" s="122"/>
      <c r="B386" s="122"/>
      <c r="C386" s="122"/>
    </row>
    <row r="387" spans="1:3" x14ac:dyDescent="0.2">
      <c r="A387" s="122"/>
      <c r="B387" s="122"/>
      <c r="C387" s="122"/>
    </row>
    <row r="388" spans="1:3" x14ac:dyDescent="0.2">
      <c r="A388" s="122"/>
      <c r="B388" s="122"/>
      <c r="C388" s="122"/>
    </row>
    <row r="389" spans="1:3" x14ac:dyDescent="0.2">
      <c r="A389" s="122"/>
      <c r="B389" s="122"/>
      <c r="C389" s="122"/>
    </row>
    <row r="390" spans="1:3" x14ac:dyDescent="0.2">
      <c r="A390" s="122"/>
      <c r="B390" s="122"/>
      <c r="C390" s="122"/>
    </row>
    <row r="391" spans="1:3" x14ac:dyDescent="0.2">
      <c r="A391" s="122"/>
      <c r="B391" s="122"/>
      <c r="C391" s="122"/>
    </row>
    <row r="392" spans="1:3" x14ac:dyDescent="0.2">
      <c r="A392" s="122"/>
      <c r="B392" s="122"/>
      <c r="C392" s="122"/>
    </row>
    <row r="393" spans="1:3" x14ac:dyDescent="0.2">
      <c r="A393" s="122"/>
      <c r="B393" s="122"/>
      <c r="C393" s="122"/>
    </row>
    <row r="394" spans="1:3" x14ac:dyDescent="0.2">
      <c r="A394" s="122"/>
      <c r="B394" s="122"/>
      <c r="C394" s="122"/>
    </row>
    <row r="395" spans="1:3" x14ac:dyDescent="0.2">
      <c r="A395" s="122"/>
      <c r="B395" s="122"/>
      <c r="C395" s="122"/>
    </row>
    <row r="396" spans="1:3" x14ac:dyDescent="0.2">
      <c r="A396" s="122"/>
      <c r="B396" s="122"/>
      <c r="C396" s="122"/>
    </row>
    <row r="397" spans="1:3" x14ac:dyDescent="0.2">
      <c r="A397" s="122"/>
      <c r="B397" s="122"/>
      <c r="C397" s="122"/>
    </row>
    <row r="398" spans="1:3" x14ac:dyDescent="0.2">
      <c r="A398" s="122"/>
      <c r="B398" s="122"/>
      <c r="C398" s="122"/>
    </row>
    <row r="399" spans="1:3" x14ac:dyDescent="0.2">
      <c r="A399" s="122"/>
      <c r="B399" s="122"/>
      <c r="C399" s="122"/>
    </row>
    <row r="400" spans="1:3" x14ac:dyDescent="0.2">
      <c r="A400" s="122"/>
      <c r="B400" s="122"/>
      <c r="C400" s="122"/>
    </row>
    <row r="401" spans="1:3" x14ac:dyDescent="0.2">
      <c r="A401" s="122"/>
      <c r="B401" s="122"/>
      <c r="C401" s="122"/>
    </row>
    <row r="402" spans="1:3" x14ac:dyDescent="0.2">
      <c r="A402" s="122"/>
      <c r="B402" s="122"/>
      <c r="C402" s="122"/>
    </row>
    <row r="403" spans="1:3" x14ac:dyDescent="0.2">
      <c r="A403" s="122"/>
      <c r="B403" s="122"/>
      <c r="C403" s="122"/>
    </row>
    <row r="404" spans="1:3" x14ac:dyDescent="0.2">
      <c r="A404" s="122"/>
      <c r="B404" s="122"/>
      <c r="C404" s="122"/>
    </row>
    <row r="405" spans="1:3" x14ac:dyDescent="0.2">
      <c r="A405" s="122"/>
      <c r="B405" s="122"/>
      <c r="C405" s="122"/>
    </row>
    <row r="406" spans="1:3" x14ac:dyDescent="0.2">
      <c r="A406" s="122"/>
      <c r="B406" s="122"/>
      <c r="C406" s="122"/>
    </row>
    <row r="407" spans="1:3" x14ac:dyDescent="0.2">
      <c r="A407" s="122"/>
      <c r="B407" s="122"/>
      <c r="C407" s="122"/>
    </row>
    <row r="408" spans="1:3" x14ac:dyDescent="0.2">
      <c r="A408" s="122"/>
      <c r="B408" s="122"/>
      <c r="C408" s="122"/>
    </row>
    <row r="409" spans="1:3" x14ac:dyDescent="0.2">
      <c r="A409" s="122"/>
      <c r="B409" s="122"/>
      <c r="C409" s="122"/>
    </row>
    <row r="410" spans="1:3" x14ac:dyDescent="0.2">
      <c r="A410" s="122"/>
      <c r="B410" s="122"/>
      <c r="C410" s="122"/>
    </row>
    <row r="411" spans="1:3" x14ac:dyDescent="0.2">
      <c r="A411" s="122"/>
      <c r="B411" s="122"/>
      <c r="C411" s="122"/>
    </row>
    <row r="412" spans="1:3" x14ac:dyDescent="0.2">
      <c r="A412" s="122"/>
      <c r="B412" s="122"/>
      <c r="C412" s="122"/>
    </row>
    <row r="413" spans="1:3" x14ac:dyDescent="0.2">
      <c r="A413" s="122"/>
      <c r="B413" s="122"/>
      <c r="C413" s="122"/>
    </row>
    <row r="414" spans="1:3" x14ac:dyDescent="0.2">
      <c r="A414" s="122"/>
      <c r="B414" s="122"/>
      <c r="C414" s="122"/>
    </row>
    <row r="415" spans="1:3" x14ac:dyDescent="0.2">
      <c r="A415" s="122"/>
      <c r="B415" s="122"/>
      <c r="C415" s="122"/>
    </row>
    <row r="416" spans="1:3" x14ac:dyDescent="0.2">
      <c r="A416" s="122"/>
      <c r="B416" s="122"/>
      <c r="C416" s="122"/>
    </row>
    <row r="417" spans="1:3" x14ac:dyDescent="0.2">
      <c r="A417" s="122"/>
      <c r="B417" s="122"/>
      <c r="C417" s="122"/>
    </row>
    <row r="418" spans="1:3" x14ac:dyDescent="0.2">
      <c r="A418" s="122"/>
      <c r="B418" s="122"/>
      <c r="C418" s="122"/>
    </row>
    <row r="419" spans="1:3" x14ac:dyDescent="0.2">
      <c r="A419" s="122"/>
      <c r="B419" s="122"/>
      <c r="C419" s="122"/>
    </row>
    <row r="420" spans="1:3" x14ac:dyDescent="0.2">
      <c r="A420" s="122"/>
      <c r="B420" s="122"/>
      <c r="C420" s="122"/>
    </row>
    <row r="421" spans="1:3" x14ac:dyDescent="0.2">
      <c r="A421" s="122"/>
      <c r="B421" s="122"/>
      <c r="C421" s="122"/>
    </row>
    <row r="422" spans="1:3" x14ac:dyDescent="0.2">
      <c r="A422" s="122"/>
      <c r="B422" s="122"/>
      <c r="C422" s="122"/>
    </row>
    <row r="423" spans="1:3" x14ac:dyDescent="0.2">
      <c r="A423" s="122"/>
      <c r="B423" s="122"/>
      <c r="C423" s="122"/>
    </row>
    <row r="424" spans="1:3" x14ac:dyDescent="0.2">
      <c r="A424" s="122"/>
      <c r="B424" s="122"/>
      <c r="C424" s="122"/>
    </row>
    <row r="425" spans="1:3" x14ac:dyDescent="0.2">
      <c r="A425" s="122"/>
      <c r="B425" s="122"/>
      <c r="C425" s="122"/>
    </row>
    <row r="426" spans="1:3" x14ac:dyDescent="0.2">
      <c r="A426" s="122"/>
      <c r="B426" s="122"/>
      <c r="C426" s="122"/>
    </row>
    <row r="427" spans="1:3" x14ac:dyDescent="0.2">
      <c r="A427" s="122"/>
      <c r="B427" s="122"/>
      <c r="C427" s="122"/>
    </row>
    <row r="428" spans="1:3" x14ac:dyDescent="0.2">
      <c r="A428" s="122"/>
      <c r="B428" s="122"/>
      <c r="C428" s="122"/>
    </row>
    <row r="429" spans="1:3" x14ac:dyDescent="0.2">
      <c r="A429" s="122"/>
      <c r="B429" s="122"/>
      <c r="C429" s="122"/>
    </row>
    <row r="430" spans="1:3" x14ac:dyDescent="0.2">
      <c r="A430" s="122"/>
      <c r="B430" s="122"/>
      <c r="C430" s="122"/>
    </row>
    <row r="431" spans="1:3" x14ac:dyDescent="0.2">
      <c r="A431" s="122"/>
      <c r="B431" s="122"/>
      <c r="C431" s="122"/>
    </row>
    <row r="432" spans="1:3" x14ac:dyDescent="0.2">
      <c r="A432" s="122"/>
      <c r="B432" s="122"/>
      <c r="C432" s="122"/>
    </row>
    <row r="433" spans="1:3" x14ac:dyDescent="0.2">
      <c r="A433" s="122"/>
      <c r="B433" s="122"/>
      <c r="C433" s="122"/>
    </row>
    <row r="434" spans="1:3" x14ac:dyDescent="0.2">
      <c r="A434" s="122"/>
      <c r="B434" s="122"/>
      <c r="C434" s="122"/>
    </row>
    <row r="435" spans="1:3" x14ac:dyDescent="0.2">
      <c r="A435" s="122"/>
      <c r="B435" s="122"/>
      <c r="C435" s="122"/>
    </row>
    <row r="436" spans="1:3" x14ac:dyDescent="0.2">
      <c r="A436" s="122"/>
      <c r="B436" s="122"/>
      <c r="C436" s="122"/>
    </row>
    <row r="437" spans="1:3" x14ac:dyDescent="0.2">
      <c r="A437" s="122"/>
      <c r="B437" s="122"/>
      <c r="C437" s="122"/>
    </row>
    <row r="438" spans="1:3" x14ac:dyDescent="0.2">
      <c r="A438" s="122"/>
      <c r="B438" s="122"/>
      <c r="C438" s="122"/>
    </row>
    <row r="439" spans="1:3" x14ac:dyDescent="0.2">
      <c r="A439" s="122"/>
      <c r="B439" s="122"/>
      <c r="C439" s="122"/>
    </row>
    <row r="440" spans="1:3" x14ac:dyDescent="0.2">
      <c r="A440" s="122"/>
      <c r="B440" s="122"/>
      <c r="C440" s="122"/>
    </row>
    <row r="441" spans="1:3" x14ac:dyDescent="0.2">
      <c r="A441" s="122"/>
      <c r="B441" s="122"/>
      <c r="C441" s="122"/>
    </row>
    <row r="442" spans="1:3" x14ac:dyDescent="0.2">
      <c r="A442" s="122"/>
      <c r="B442" s="122"/>
      <c r="C442" s="122"/>
    </row>
    <row r="443" spans="1:3" x14ac:dyDescent="0.2">
      <c r="A443" s="122"/>
      <c r="B443" s="122"/>
      <c r="C443" s="122"/>
    </row>
    <row r="444" spans="1:3" x14ac:dyDescent="0.2">
      <c r="A444" s="122"/>
      <c r="B444" s="122"/>
      <c r="C444" s="122"/>
    </row>
    <row r="445" spans="1:3" x14ac:dyDescent="0.2">
      <c r="A445" s="122"/>
      <c r="B445" s="122"/>
      <c r="C445" s="122"/>
    </row>
    <row r="446" spans="1:3" x14ac:dyDescent="0.2">
      <c r="A446" s="122"/>
      <c r="B446" s="122"/>
      <c r="C446" s="122"/>
    </row>
    <row r="447" spans="1:3" x14ac:dyDescent="0.2">
      <c r="A447" s="122"/>
      <c r="B447" s="122"/>
      <c r="C447" s="122"/>
    </row>
    <row r="448" spans="1:3" x14ac:dyDescent="0.2">
      <c r="A448" s="122"/>
      <c r="B448" s="122"/>
      <c r="C448" s="122"/>
    </row>
    <row r="449" spans="1:3" x14ac:dyDescent="0.2">
      <c r="A449" s="122"/>
      <c r="B449" s="122"/>
      <c r="C449" s="122"/>
    </row>
    <row r="450" spans="1:3" x14ac:dyDescent="0.2">
      <c r="A450" s="122"/>
      <c r="B450" s="122"/>
      <c r="C450" s="122"/>
    </row>
    <row r="451" spans="1:3" x14ac:dyDescent="0.2">
      <c r="A451" s="122"/>
      <c r="B451" s="122"/>
      <c r="C451" s="122"/>
    </row>
    <row r="452" spans="1:3" x14ac:dyDescent="0.2">
      <c r="A452" s="122"/>
      <c r="B452" s="122"/>
      <c r="C452" s="122"/>
    </row>
    <row r="453" spans="1:3" x14ac:dyDescent="0.2">
      <c r="A453" s="122"/>
      <c r="B453" s="122"/>
      <c r="C453" s="122"/>
    </row>
    <row r="454" spans="1:3" x14ac:dyDescent="0.2">
      <c r="A454" s="122"/>
      <c r="B454" s="122"/>
      <c r="C454" s="122"/>
    </row>
    <row r="455" spans="1:3" x14ac:dyDescent="0.2">
      <c r="A455" s="122"/>
      <c r="B455" s="122"/>
      <c r="C455" s="122"/>
    </row>
    <row r="456" spans="1:3" x14ac:dyDescent="0.2">
      <c r="A456" s="122"/>
      <c r="B456" s="122"/>
      <c r="C456" s="122"/>
    </row>
    <row r="457" spans="1:3" x14ac:dyDescent="0.2">
      <c r="A457" s="122"/>
      <c r="B457" s="122"/>
      <c r="C457" s="122"/>
    </row>
    <row r="458" spans="1:3" x14ac:dyDescent="0.2">
      <c r="A458" s="122"/>
      <c r="B458" s="122"/>
      <c r="C458" s="122"/>
    </row>
    <row r="459" spans="1:3" x14ac:dyDescent="0.2">
      <c r="A459" s="122"/>
      <c r="B459" s="122"/>
      <c r="C459" s="122"/>
    </row>
    <row r="460" spans="1:3" x14ac:dyDescent="0.2">
      <c r="A460" s="122"/>
      <c r="B460" s="122"/>
      <c r="C460" s="122"/>
    </row>
    <row r="461" spans="1:3" x14ac:dyDescent="0.2">
      <c r="A461" s="122"/>
      <c r="B461" s="122"/>
      <c r="C461" s="122"/>
    </row>
    <row r="462" spans="1:3" x14ac:dyDescent="0.2">
      <c r="A462" s="122"/>
      <c r="B462" s="122"/>
      <c r="C462" s="122"/>
    </row>
    <row r="463" spans="1:3" x14ac:dyDescent="0.2">
      <c r="A463" s="122"/>
      <c r="B463" s="122"/>
      <c r="C463" s="122"/>
    </row>
    <row r="464" spans="1:3" x14ac:dyDescent="0.2">
      <c r="A464" s="122"/>
      <c r="B464" s="122"/>
      <c r="C464" s="122"/>
    </row>
    <row r="465" spans="1:3" x14ac:dyDescent="0.2">
      <c r="A465" s="122"/>
      <c r="B465" s="122"/>
      <c r="C465" s="122"/>
    </row>
    <row r="466" spans="1:3" x14ac:dyDescent="0.2">
      <c r="A466" s="122"/>
      <c r="B466" s="122"/>
      <c r="C466" s="122"/>
    </row>
    <row r="467" spans="1:3" x14ac:dyDescent="0.2">
      <c r="A467" s="122"/>
      <c r="B467" s="122"/>
      <c r="C467" s="122"/>
    </row>
    <row r="468" spans="1:3" x14ac:dyDescent="0.2">
      <c r="A468" s="122"/>
      <c r="B468" s="122"/>
      <c r="C468" s="122"/>
    </row>
    <row r="469" spans="1:3" x14ac:dyDescent="0.2">
      <c r="A469" s="122"/>
      <c r="B469" s="122"/>
      <c r="C469" s="122"/>
    </row>
    <row r="470" spans="1:3" x14ac:dyDescent="0.2">
      <c r="A470" s="122"/>
      <c r="B470" s="122"/>
      <c r="C470" s="122"/>
    </row>
    <row r="471" spans="1:3" x14ac:dyDescent="0.2">
      <c r="A471" s="122"/>
      <c r="B471" s="122"/>
      <c r="C471" s="122"/>
    </row>
    <row r="472" spans="1:3" x14ac:dyDescent="0.2">
      <c r="A472" s="122"/>
      <c r="B472" s="122"/>
      <c r="C472" s="122"/>
    </row>
    <row r="473" spans="1:3" x14ac:dyDescent="0.2">
      <c r="A473" s="122"/>
      <c r="B473" s="122"/>
      <c r="C473" s="122"/>
    </row>
    <row r="474" spans="1:3" x14ac:dyDescent="0.2">
      <c r="A474" s="122"/>
      <c r="B474" s="122"/>
      <c r="C474" s="122"/>
    </row>
    <row r="475" spans="1:3" x14ac:dyDescent="0.2">
      <c r="A475" s="122"/>
      <c r="B475" s="122"/>
      <c r="C475" s="122"/>
    </row>
    <row r="476" spans="1:3" x14ac:dyDescent="0.2">
      <c r="A476" s="122"/>
      <c r="B476" s="122"/>
      <c r="C476" s="122"/>
    </row>
    <row r="477" spans="1:3" x14ac:dyDescent="0.2">
      <c r="A477" s="122"/>
      <c r="B477" s="122"/>
      <c r="C477" s="122"/>
    </row>
    <row r="478" spans="1:3" x14ac:dyDescent="0.2">
      <c r="A478" s="122"/>
      <c r="B478" s="122"/>
      <c r="C478" s="122"/>
    </row>
    <row r="479" spans="1:3" x14ac:dyDescent="0.2">
      <c r="A479" s="122"/>
      <c r="B479" s="122"/>
      <c r="C479" s="122"/>
    </row>
    <row r="480" spans="1:3" x14ac:dyDescent="0.2">
      <c r="A480" s="122"/>
      <c r="B480" s="122"/>
      <c r="C480" s="122"/>
    </row>
    <row r="481" spans="1:3" x14ac:dyDescent="0.2">
      <c r="A481" s="122"/>
      <c r="B481" s="122"/>
      <c r="C481" s="122"/>
    </row>
    <row r="482" spans="1:3" x14ac:dyDescent="0.2">
      <c r="A482" s="122"/>
      <c r="B482" s="122"/>
      <c r="C482" s="122"/>
    </row>
    <row r="483" spans="1:3" x14ac:dyDescent="0.2">
      <c r="A483" s="122"/>
      <c r="B483" s="122"/>
      <c r="C483" s="122"/>
    </row>
    <row r="484" spans="1:3" x14ac:dyDescent="0.2">
      <c r="A484" s="122"/>
      <c r="B484" s="122"/>
      <c r="C484" s="122"/>
    </row>
    <row r="485" spans="1:3" x14ac:dyDescent="0.2">
      <c r="A485" s="122"/>
      <c r="B485" s="122"/>
      <c r="C485" s="122"/>
    </row>
    <row r="486" spans="1:3" x14ac:dyDescent="0.2">
      <c r="A486" s="122"/>
      <c r="B486" s="122"/>
      <c r="C486" s="122"/>
    </row>
    <row r="487" spans="1:3" x14ac:dyDescent="0.2">
      <c r="A487" s="122"/>
      <c r="B487" s="122"/>
      <c r="C487" s="122"/>
    </row>
    <row r="488" spans="1:3" x14ac:dyDescent="0.2">
      <c r="A488" s="122"/>
      <c r="B488" s="122"/>
      <c r="C488" s="122"/>
    </row>
    <row r="489" spans="1:3" x14ac:dyDescent="0.2">
      <c r="A489" s="122"/>
      <c r="B489" s="122"/>
      <c r="C489" s="122"/>
    </row>
    <row r="490" spans="1:3" x14ac:dyDescent="0.2">
      <c r="A490" s="122"/>
      <c r="B490" s="122"/>
      <c r="C490" s="122"/>
    </row>
    <row r="491" spans="1:3" x14ac:dyDescent="0.2">
      <c r="A491" s="122"/>
      <c r="B491" s="122"/>
      <c r="C491" s="122"/>
    </row>
    <row r="492" spans="1:3" x14ac:dyDescent="0.2">
      <c r="A492" s="122"/>
      <c r="B492" s="122"/>
      <c r="C492" s="122"/>
    </row>
    <row r="493" spans="1:3" x14ac:dyDescent="0.2">
      <c r="A493" s="122"/>
      <c r="B493" s="122"/>
      <c r="C493" s="122"/>
    </row>
    <row r="494" spans="1:3" x14ac:dyDescent="0.2">
      <c r="A494" s="122"/>
      <c r="B494" s="122"/>
      <c r="C494" s="122"/>
    </row>
    <row r="495" spans="1:3" x14ac:dyDescent="0.2">
      <c r="A495" s="122"/>
      <c r="B495" s="122"/>
      <c r="C495" s="122"/>
    </row>
    <row r="496" spans="1:3" x14ac:dyDescent="0.2">
      <c r="A496" s="122"/>
      <c r="B496" s="122"/>
      <c r="C496" s="122"/>
    </row>
    <row r="497" spans="1:3" x14ac:dyDescent="0.2">
      <c r="A497" s="122"/>
      <c r="B497" s="122"/>
      <c r="C497" s="122"/>
    </row>
    <row r="498" spans="1:3" x14ac:dyDescent="0.2">
      <c r="A498" s="122"/>
      <c r="B498" s="122"/>
      <c r="C498" s="122"/>
    </row>
    <row r="499" spans="1:3" x14ac:dyDescent="0.2">
      <c r="A499" s="122"/>
      <c r="B499" s="122"/>
      <c r="C499" s="122"/>
    </row>
    <row r="500" spans="1:3" x14ac:dyDescent="0.2">
      <c r="A500" s="122"/>
      <c r="B500" s="122"/>
      <c r="C500" s="122"/>
    </row>
    <row r="501" spans="1:3" x14ac:dyDescent="0.2">
      <c r="A501" s="122"/>
      <c r="B501" s="122"/>
      <c r="C501" s="122"/>
    </row>
    <row r="502" spans="1:3" x14ac:dyDescent="0.2">
      <c r="A502" s="122"/>
      <c r="B502" s="122"/>
      <c r="C502" s="122"/>
    </row>
    <row r="503" spans="1:3" x14ac:dyDescent="0.2">
      <c r="A503" s="122"/>
      <c r="B503" s="122"/>
      <c r="C503" s="122"/>
    </row>
    <row r="504" spans="1:3" x14ac:dyDescent="0.2">
      <c r="A504" s="122"/>
      <c r="B504" s="122"/>
      <c r="C504" s="122"/>
    </row>
    <row r="505" spans="1:3" x14ac:dyDescent="0.2">
      <c r="A505" s="122"/>
      <c r="B505" s="122"/>
      <c r="C505" s="122"/>
    </row>
    <row r="506" spans="1:3" x14ac:dyDescent="0.2">
      <c r="A506" s="122"/>
      <c r="B506" s="122"/>
      <c r="C506" s="122"/>
    </row>
    <row r="507" spans="1:3" x14ac:dyDescent="0.2">
      <c r="A507" s="122"/>
      <c r="B507" s="122"/>
      <c r="C507" s="122"/>
    </row>
    <row r="508" spans="1:3" x14ac:dyDescent="0.2">
      <c r="A508" s="122"/>
      <c r="B508" s="122"/>
      <c r="C508" s="122"/>
    </row>
    <row r="509" spans="1:3" x14ac:dyDescent="0.2">
      <c r="A509" s="122"/>
      <c r="B509" s="122"/>
      <c r="C509" s="122"/>
    </row>
    <row r="510" spans="1:3" x14ac:dyDescent="0.2">
      <c r="A510" s="122"/>
      <c r="B510" s="122"/>
      <c r="C510" s="122"/>
    </row>
    <row r="511" spans="1:3" x14ac:dyDescent="0.2">
      <c r="A511" s="122"/>
      <c r="B511" s="122"/>
      <c r="C511" s="122"/>
    </row>
    <row r="512" spans="1:3" x14ac:dyDescent="0.2">
      <c r="A512" s="122"/>
      <c r="B512" s="122"/>
      <c r="C512" s="122"/>
    </row>
    <row r="513" spans="1:3" x14ac:dyDescent="0.2">
      <c r="A513" s="122"/>
      <c r="B513" s="122"/>
      <c r="C513" s="122"/>
    </row>
    <row r="514" spans="1:3" x14ac:dyDescent="0.2">
      <c r="A514" s="122"/>
      <c r="B514" s="122"/>
      <c r="C514" s="122"/>
    </row>
    <row r="515" spans="1:3" x14ac:dyDescent="0.2">
      <c r="A515" s="122"/>
      <c r="B515" s="122"/>
      <c r="C515" s="122"/>
    </row>
    <row r="516" spans="1:3" x14ac:dyDescent="0.2">
      <c r="A516" s="122"/>
      <c r="B516" s="122"/>
      <c r="C516" s="122"/>
    </row>
    <row r="517" spans="1:3" x14ac:dyDescent="0.2">
      <c r="A517" s="122"/>
      <c r="B517" s="122"/>
      <c r="C517" s="122"/>
    </row>
    <row r="518" spans="1:3" x14ac:dyDescent="0.2">
      <c r="A518" s="122"/>
      <c r="B518" s="122"/>
      <c r="C518" s="122"/>
    </row>
    <row r="519" spans="1:3" x14ac:dyDescent="0.2">
      <c r="A519" s="122"/>
      <c r="B519" s="122"/>
      <c r="C519" s="122"/>
    </row>
    <row r="520" spans="1:3" x14ac:dyDescent="0.2">
      <c r="A520" s="122"/>
      <c r="B520" s="122"/>
      <c r="C520" s="122"/>
    </row>
    <row r="521" spans="1:3" x14ac:dyDescent="0.2">
      <c r="A521" s="122"/>
      <c r="B521" s="122"/>
      <c r="C521" s="122"/>
    </row>
    <row r="522" spans="1:3" x14ac:dyDescent="0.2">
      <c r="A522" s="122"/>
      <c r="B522" s="122"/>
      <c r="C522" s="122"/>
    </row>
    <row r="523" spans="1:3" x14ac:dyDescent="0.2">
      <c r="A523" s="122"/>
      <c r="B523" s="122"/>
      <c r="C523" s="122"/>
    </row>
    <row r="524" spans="1:3" x14ac:dyDescent="0.2">
      <c r="A524" s="122"/>
      <c r="B524" s="122"/>
      <c r="C524" s="122"/>
    </row>
    <row r="525" spans="1:3" x14ac:dyDescent="0.2">
      <c r="A525" s="122"/>
      <c r="B525" s="122"/>
      <c r="C525" s="122"/>
    </row>
    <row r="526" spans="1:3" x14ac:dyDescent="0.2">
      <c r="A526" s="122"/>
      <c r="B526" s="122"/>
      <c r="C526" s="122"/>
    </row>
    <row r="527" spans="1:3" x14ac:dyDescent="0.2">
      <c r="A527" s="122"/>
      <c r="B527" s="122"/>
      <c r="C527" s="122"/>
    </row>
    <row r="528" spans="1:3" x14ac:dyDescent="0.2">
      <c r="A528" s="122"/>
      <c r="B528" s="122"/>
      <c r="C528" s="122"/>
    </row>
    <row r="529" spans="1:3" x14ac:dyDescent="0.2">
      <c r="A529" s="122"/>
      <c r="B529" s="122"/>
      <c r="C529" s="122"/>
    </row>
    <row r="530" spans="1:3" x14ac:dyDescent="0.2">
      <c r="A530" s="122"/>
      <c r="B530" s="122"/>
      <c r="C530" s="122"/>
    </row>
    <row r="531" spans="1:3" x14ac:dyDescent="0.2">
      <c r="A531" s="122"/>
      <c r="B531" s="122"/>
      <c r="C531" s="122"/>
    </row>
    <row r="532" spans="1:3" x14ac:dyDescent="0.2">
      <c r="A532" s="122"/>
      <c r="B532" s="122"/>
      <c r="C532" s="122"/>
    </row>
    <row r="533" spans="1:3" x14ac:dyDescent="0.2">
      <c r="A533" s="122"/>
      <c r="B533" s="122"/>
      <c r="C533" s="122"/>
    </row>
    <row r="534" spans="1:3" x14ac:dyDescent="0.2">
      <c r="A534" s="122"/>
      <c r="B534" s="122"/>
      <c r="C534" s="122"/>
    </row>
    <row r="535" spans="1:3" x14ac:dyDescent="0.2">
      <c r="A535" s="122"/>
      <c r="B535" s="122"/>
      <c r="C535" s="122"/>
    </row>
    <row r="536" spans="1:3" x14ac:dyDescent="0.2">
      <c r="A536" s="122"/>
      <c r="B536" s="122"/>
      <c r="C536" s="122"/>
    </row>
    <row r="537" spans="1:3" x14ac:dyDescent="0.2">
      <c r="A537" s="122"/>
      <c r="B537" s="122"/>
      <c r="C537" s="122"/>
    </row>
    <row r="538" spans="1:3" x14ac:dyDescent="0.2">
      <c r="A538" s="122"/>
      <c r="B538" s="122"/>
      <c r="C538" s="122"/>
    </row>
    <row r="539" spans="1:3" x14ac:dyDescent="0.2">
      <c r="A539" s="122"/>
      <c r="B539" s="122"/>
      <c r="C539" s="122"/>
    </row>
    <row r="540" spans="1:3" x14ac:dyDescent="0.2">
      <c r="A540" s="122"/>
      <c r="B540" s="122"/>
      <c r="C540" s="122"/>
    </row>
    <row r="541" spans="1:3" x14ac:dyDescent="0.2">
      <c r="A541" s="122"/>
      <c r="B541" s="122"/>
      <c r="C541" s="122"/>
    </row>
    <row r="542" spans="1:3" x14ac:dyDescent="0.2">
      <c r="A542" s="122"/>
      <c r="B542" s="122"/>
      <c r="C542" s="122"/>
    </row>
    <row r="543" spans="1:3" x14ac:dyDescent="0.2">
      <c r="A543" s="122"/>
      <c r="B543" s="122"/>
      <c r="C543" s="122"/>
    </row>
    <row r="544" spans="1:3" x14ac:dyDescent="0.2">
      <c r="A544" s="122"/>
      <c r="B544" s="122"/>
      <c r="C544" s="122"/>
    </row>
    <row r="545" spans="1:3" x14ac:dyDescent="0.2">
      <c r="A545" s="122"/>
      <c r="B545" s="122"/>
      <c r="C545" s="122"/>
    </row>
    <row r="546" spans="1:3" x14ac:dyDescent="0.2">
      <c r="A546" s="122"/>
      <c r="B546" s="122"/>
      <c r="C546" s="122"/>
    </row>
    <row r="547" spans="1:3" x14ac:dyDescent="0.2">
      <c r="A547" s="122"/>
      <c r="B547" s="122"/>
      <c r="C547" s="122"/>
    </row>
    <row r="548" spans="1:3" x14ac:dyDescent="0.2">
      <c r="A548" s="122"/>
      <c r="B548" s="122"/>
      <c r="C548" s="122"/>
    </row>
    <row r="549" spans="1:3" x14ac:dyDescent="0.2">
      <c r="A549" s="122"/>
      <c r="B549" s="122"/>
      <c r="C549" s="122"/>
    </row>
    <row r="550" spans="1:3" x14ac:dyDescent="0.2">
      <c r="A550" s="122"/>
      <c r="B550" s="122"/>
      <c r="C550" s="122"/>
    </row>
    <row r="551" spans="1:3" x14ac:dyDescent="0.2">
      <c r="A551" s="122"/>
      <c r="B551" s="122"/>
      <c r="C551" s="122"/>
    </row>
    <row r="552" spans="1:3" x14ac:dyDescent="0.2">
      <c r="A552" s="122"/>
      <c r="B552" s="122"/>
      <c r="C552" s="122"/>
    </row>
    <row r="553" spans="1:3" x14ac:dyDescent="0.2">
      <c r="A553" s="122"/>
      <c r="B553" s="122"/>
      <c r="C553" s="122"/>
    </row>
    <row r="554" spans="1:3" x14ac:dyDescent="0.2">
      <c r="A554" s="122"/>
      <c r="B554" s="122"/>
      <c r="C554" s="122"/>
    </row>
    <row r="555" spans="1:3" x14ac:dyDescent="0.2">
      <c r="A555" s="122"/>
      <c r="B555" s="122"/>
      <c r="C555" s="122"/>
    </row>
    <row r="556" spans="1:3" x14ac:dyDescent="0.2">
      <c r="A556" s="122"/>
      <c r="B556" s="122"/>
      <c r="C556" s="122"/>
    </row>
    <row r="557" spans="1:3" x14ac:dyDescent="0.2">
      <c r="A557" s="122"/>
      <c r="B557" s="122"/>
      <c r="C557" s="122"/>
    </row>
    <row r="558" spans="1:3" x14ac:dyDescent="0.2">
      <c r="A558" s="122"/>
      <c r="B558" s="122"/>
      <c r="C558" s="122"/>
    </row>
    <row r="559" spans="1:3" x14ac:dyDescent="0.2">
      <c r="A559" s="122"/>
      <c r="B559" s="122"/>
      <c r="C559" s="122"/>
    </row>
    <row r="560" spans="1:3" x14ac:dyDescent="0.2">
      <c r="A560" s="122"/>
      <c r="B560" s="122"/>
      <c r="C560" s="122"/>
    </row>
    <row r="561" spans="1:3" x14ac:dyDescent="0.2">
      <c r="A561" s="122"/>
      <c r="B561" s="122"/>
      <c r="C561" s="122"/>
    </row>
    <row r="562" spans="1:3" x14ac:dyDescent="0.2">
      <c r="A562" s="122"/>
      <c r="B562" s="122"/>
      <c r="C562" s="122"/>
    </row>
    <row r="563" spans="1:3" x14ac:dyDescent="0.2">
      <c r="A563" s="122"/>
      <c r="B563" s="122"/>
      <c r="C563" s="122"/>
    </row>
    <row r="564" spans="1:3" x14ac:dyDescent="0.2">
      <c r="A564" s="122"/>
      <c r="B564" s="122"/>
      <c r="C564" s="122"/>
    </row>
    <row r="565" spans="1:3" x14ac:dyDescent="0.2">
      <c r="A565" s="122"/>
      <c r="B565" s="122"/>
      <c r="C565" s="122"/>
    </row>
    <row r="566" spans="1:3" x14ac:dyDescent="0.2">
      <c r="A566" s="122"/>
      <c r="B566" s="122"/>
      <c r="C566" s="122"/>
    </row>
    <row r="567" spans="1:3" x14ac:dyDescent="0.2">
      <c r="A567" s="122"/>
      <c r="B567" s="122"/>
      <c r="C567" s="122"/>
    </row>
    <row r="568" spans="1:3" x14ac:dyDescent="0.2">
      <c r="A568" s="122"/>
      <c r="B568" s="122"/>
      <c r="C568" s="122"/>
    </row>
    <row r="569" spans="1:3" x14ac:dyDescent="0.2">
      <c r="A569" s="122"/>
      <c r="B569" s="122"/>
      <c r="C569" s="122"/>
    </row>
    <row r="570" spans="1:3" x14ac:dyDescent="0.2">
      <c r="A570" s="122"/>
      <c r="B570" s="122"/>
      <c r="C570" s="122"/>
    </row>
    <row r="571" spans="1:3" x14ac:dyDescent="0.2">
      <c r="A571" s="122"/>
      <c r="B571" s="122"/>
      <c r="C571" s="122"/>
    </row>
    <row r="572" spans="1:3" x14ac:dyDescent="0.2">
      <c r="A572" s="122"/>
      <c r="B572" s="122"/>
      <c r="C572" s="122"/>
    </row>
    <row r="573" spans="1:3" x14ac:dyDescent="0.2">
      <c r="A573" s="122"/>
      <c r="B573" s="122"/>
      <c r="C573" s="122"/>
    </row>
    <row r="574" spans="1:3" x14ac:dyDescent="0.2">
      <c r="A574" s="122"/>
      <c r="B574" s="122"/>
      <c r="C574" s="122"/>
    </row>
    <row r="575" spans="1:3" x14ac:dyDescent="0.2">
      <c r="A575" s="122"/>
      <c r="B575" s="122"/>
      <c r="C575" s="122"/>
    </row>
    <row r="576" spans="1:3" x14ac:dyDescent="0.2">
      <c r="A576" s="122"/>
      <c r="B576" s="122"/>
      <c r="C576" s="122"/>
    </row>
    <row r="577" spans="1:3" x14ac:dyDescent="0.2">
      <c r="A577" s="122"/>
      <c r="B577" s="122"/>
      <c r="C577" s="122"/>
    </row>
    <row r="578" spans="1:3" x14ac:dyDescent="0.2">
      <c r="A578" s="122"/>
      <c r="B578" s="122"/>
      <c r="C578" s="122"/>
    </row>
    <row r="579" spans="1:3" x14ac:dyDescent="0.2">
      <c r="A579" s="122"/>
      <c r="B579" s="122"/>
      <c r="C579" s="122"/>
    </row>
    <row r="580" spans="1:3" x14ac:dyDescent="0.2">
      <c r="A580" s="122"/>
      <c r="B580" s="122"/>
      <c r="C580" s="122"/>
    </row>
    <row r="581" spans="1:3" x14ac:dyDescent="0.2">
      <c r="A581" s="122"/>
      <c r="B581" s="122"/>
      <c r="C581" s="122"/>
    </row>
    <row r="582" spans="1:3" x14ac:dyDescent="0.2">
      <c r="A582" s="122"/>
      <c r="B582" s="122"/>
      <c r="C582" s="122"/>
    </row>
    <row r="583" spans="1:3" x14ac:dyDescent="0.2">
      <c r="A583" s="122"/>
      <c r="B583" s="122"/>
      <c r="C583" s="122"/>
    </row>
    <row r="584" spans="1:3" x14ac:dyDescent="0.2">
      <c r="A584" s="122"/>
      <c r="B584" s="122"/>
      <c r="C584" s="122"/>
    </row>
    <row r="585" spans="1:3" x14ac:dyDescent="0.2">
      <c r="A585" s="122"/>
      <c r="B585" s="122"/>
      <c r="C585" s="122"/>
    </row>
    <row r="586" spans="1:3" x14ac:dyDescent="0.2">
      <c r="A586" s="122"/>
      <c r="B586" s="122"/>
      <c r="C586" s="122"/>
    </row>
    <row r="587" spans="1:3" x14ac:dyDescent="0.2">
      <c r="A587" s="122"/>
      <c r="B587" s="122"/>
      <c r="C587" s="122"/>
    </row>
    <row r="588" spans="1:3" x14ac:dyDescent="0.2">
      <c r="A588" s="122"/>
      <c r="B588" s="122"/>
      <c r="C588" s="122"/>
    </row>
    <row r="589" spans="1:3" x14ac:dyDescent="0.2">
      <c r="A589" s="122"/>
      <c r="B589" s="122"/>
      <c r="C589" s="122"/>
    </row>
    <row r="590" spans="1:3" x14ac:dyDescent="0.2">
      <c r="A590" s="122"/>
      <c r="B590" s="122"/>
      <c r="C590" s="122"/>
    </row>
    <row r="591" spans="1:3" x14ac:dyDescent="0.2">
      <c r="A591" s="122"/>
      <c r="B591" s="122"/>
      <c r="C591" s="122"/>
    </row>
    <row r="592" spans="1:3" x14ac:dyDescent="0.2">
      <c r="A592" s="122"/>
      <c r="B592" s="122"/>
      <c r="C592" s="122"/>
    </row>
    <row r="593" spans="1:3" x14ac:dyDescent="0.2">
      <c r="A593" s="122"/>
      <c r="B593" s="122"/>
      <c r="C593" s="122"/>
    </row>
    <row r="594" spans="1:3" x14ac:dyDescent="0.2">
      <c r="A594" s="122"/>
      <c r="B594" s="122"/>
      <c r="C594" s="122"/>
    </row>
    <row r="595" spans="1:3" x14ac:dyDescent="0.2">
      <c r="A595" s="122"/>
      <c r="B595" s="122"/>
      <c r="C595" s="122"/>
    </row>
    <row r="596" spans="1:3" x14ac:dyDescent="0.2">
      <c r="A596" s="122"/>
      <c r="B596" s="122"/>
      <c r="C596" s="122"/>
    </row>
    <row r="597" spans="1:3" x14ac:dyDescent="0.2">
      <c r="A597" s="122"/>
      <c r="B597" s="122"/>
      <c r="C597" s="122"/>
    </row>
    <row r="598" spans="1:3" x14ac:dyDescent="0.2">
      <c r="A598" s="122"/>
      <c r="B598" s="122"/>
      <c r="C598" s="122"/>
    </row>
    <row r="599" spans="1:3" x14ac:dyDescent="0.2">
      <c r="A599" s="122"/>
      <c r="B599" s="122"/>
      <c r="C599" s="122"/>
    </row>
    <row r="600" spans="1:3" x14ac:dyDescent="0.2">
      <c r="A600" s="122"/>
      <c r="B600" s="122"/>
      <c r="C600" s="122"/>
    </row>
    <row r="601" spans="1:3" x14ac:dyDescent="0.2">
      <c r="A601" s="122"/>
      <c r="B601" s="122"/>
      <c r="C601" s="122"/>
    </row>
    <row r="602" spans="1:3" x14ac:dyDescent="0.2">
      <c r="A602" s="122"/>
      <c r="B602" s="122"/>
      <c r="C602" s="122"/>
    </row>
    <row r="603" spans="1:3" x14ac:dyDescent="0.2">
      <c r="A603" s="122"/>
      <c r="B603" s="122"/>
      <c r="C603" s="122"/>
    </row>
    <row r="604" spans="1:3" x14ac:dyDescent="0.2">
      <c r="A604" s="122"/>
      <c r="B604" s="122"/>
      <c r="C604" s="122"/>
    </row>
    <row r="605" spans="1:3" x14ac:dyDescent="0.2">
      <c r="A605" s="122"/>
      <c r="B605" s="122"/>
      <c r="C605" s="122"/>
    </row>
    <row r="606" spans="1:3" x14ac:dyDescent="0.2">
      <c r="A606" s="122"/>
      <c r="B606" s="122"/>
      <c r="C606" s="122"/>
    </row>
    <row r="607" spans="1:3" x14ac:dyDescent="0.2">
      <c r="A607" s="122"/>
      <c r="B607" s="122"/>
      <c r="C607" s="122"/>
    </row>
    <row r="608" spans="1:3" x14ac:dyDescent="0.2">
      <c r="A608" s="122"/>
      <c r="B608" s="122"/>
      <c r="C608" s="122"/>
    </row>
    <row r="609" spans="1:3" x14ac:dyDescent="0.2">
      <c r="A609" s="122"/>
      <c r="B609" s="122"/>
      <c r="C609" s="122"/>
    </row>
    <row r="610" spans="1:3" x14ac:dyDescent="0.2">
      <c r="A610" s="122"/>
      <c r="B610" s="122"/>
      <c r="C610" s="122"/>
    </row>
    <row r="611" spans="1:3" x14ac:dyDescent="0.2">
      <c r="A611" s="122"/>
      <c r="B611" s="122"/>
      <c r="C611" s="122"/>
    </row>
    <row r="612" spans="1:3" x14ac:dyDescent="0.2">
      <c r="A612" s="122"/>
      <c r="B612" s="122"/>
      <c r="C612" s="122"/>
    </row>
    <row r="613" spans="1:3" x14ac:dyDescent="0.2">
      <c r="A613" s="122"/>
      <c r="B613" s="122"/>
      <c r="C613" s="122"/>
    </row>
    <row r="614" spans="1:3" x14ac:dyDescent="0.2">
      <c r="A614" s="122"/>
      <c r="B614" s="122"/>
      <c r="C614" s="122"/>
    </row>
    <row r="615" spans="1:3" x14ac:dyDescent="0.2">
      <c r="A615" s="122"/>
      <c r="B615" s="122"/>
      <c r="C615" s="122"/>
    </row>
    <row r="616" spans="1:3" x14ac:dyDescent="0.2">
      <c r="A616" s="122"/>
      <c r="B616" s="122"/>
      <c r="C616" s="122"/>
    </row>
    <row r="617" spans="1:3" x14ac:dyDescent="0.2">
      <c r="A617" s="122"/>
      <c r="B617" s="122"/>
      <c r="C617" s="122"/>
    </row>
    <row r="618" spans="1:3" x14ac:dyDescent="0.2">
      <c r="A618" s="122"/>
      <c r="B618" s="122"/>
      <c r="C618" s="122"/>
    </row>
    <row r="619" spans="1:3" x14ac:dyDescent="0.2">
      <c r="A619" s="122"/>
      <c r="B619" s="122"/>
      <c r="C619" s="122"/>
    </row>
    <row r="620" spans="1:3" x14ac:dyDescent="0.2">
      <c r="A620" s="122"/>
      <c r="B620" s="122"/>
      <c r="C620" s="122"/>
    </row>
    <row r="621" spans="1:3" x14ac:dyDescent="0.2">
      <c r="A621" s="122"/>
      <c r="B621" s="122"/>
      <c r="C621" s="122"/>
    </row>
    <row r="622" spans="1:3" x14ac:dyDescent="0.2">
      <c r="A622" s="122"/>
      <c r="B622" s="122"/>
      <c r="C622" s="122"/>
    </row>
    <row r="623" spans="1:3" x14ac:dyDescent="0.2">
      <c r="A623" s="122"/>
      <c r="B623" s="122"/>
      <c r="C623" s="122"/>
    </row>
    <row r="624" spans="1:3" x14ac:dyDescent="0.2">
      <c r="A624" s="122"/>
      <c r="B624" s="122"/>
      <c r="C624" s="122"/>
    </row>
    <row r="625" spans="1:3" x14ac:dyDescent="0.2">
      <c r="A625" s="122"/>
      <c r="B625" s="122"/>
      <c r="C625" s="122"/>
    </row>
    <row r="626" spans="1:3" x14ac:dyDescent="0.2">
      <c r="A626" s="122"/>
      <c r="B626" s="122"/>
      <c r="C626" s="122"/>
    </row>
    <row r="627" spans="1:3" x14ac:dyDescent="0.2">
      <c r="A627" s="122"/>
      <c r="B627" s="122"/>
      <c r="C627" s="122"/>
    </row>
    <row r="628" spans="1:3" x14ac:dyDescent="0.2">
      <c r="A628" s="122"/>
      <c r="B628" s="122"/>
      <c r="C628" s="122"/>
    </row>
    <row r="629" spans="1:3" x14ac:dyDescent="0.2">
      <c r="A629" s="122"/>
      <c r="B629" s="122"/>
      <c r="C629" s="122"/>
    </row>
    <row r="630" spans="1:3" x14ac:dyDescent="0.2">
      <c r="A630" s="122"/>
      <c r="B630" s="122"/>
      <c r="C630" s="122"/>
    </row>
    <row r="631" spans="1:3" x14ac:dyDescent="0.2">
      <c r="A631" s="122"/>
      <c r="B631" s="122"/>
      <c r="C631" s="122"/>
    </row>
    <row r="632" spans="1:3" x14ac:dyDescent="0.2">
      <c r="A632" s="122"/>
      <c r="B632" s="122"/>
      <c r="C632" s="122"/>
    </row>
    <row r="633" spans="1:3" x14ac:dyDescent="0.2">
      <c r="A633" s="122"/>
      <c r="B633" s="122"/>
      <c r="C633" s="122"/>
    </row>
    <row r="634" spans="1:3" x14ac:dyDescent="0.2">
      <c r="A634" s="122"/>
      <c r="B634" s="122"/>
      <c r="C634" s="122"/>
    </row>
    <row r="635" spans="1:3" x14ac:dyDescent="0.2">
      <c r="A635" s="122"/>
      <c r="B635" s="122"/>
      <c r="C635" s="122"/>
    </row>
    <row r="636" spans="1:3" x14ac:dyDescent="0.2">
      <c r="A636" s="122"/>
      <c r="B636" s="122"/>
      <c r="C636" s="122"/>
    </row>
    <row r="637" spans="1:3" x14ac:dyDescent="0.2">
      <c r="A637" s="122"/>
      <c r="B637" s="122"/>
      <c r="C637" s="122"/>
    </row>
    <row r="638" spans="1:3" x14ac:dyDescent="0.2">
      <c r="A638" s="122"/>
      <c r="B638" s="122"/>
      <c r="C638" s="122"/>
    </row>
    <row r="639" spans="1:3" x14ac:dyDescent="0.2">
      <c r="A639" s="122"/>
      <c r="B639" s="122"/>
      <c r="C639" s="122"/>
    </row>
    <row r="640" spans="1:3" x14ac:dyDescent="0.2">
      <c r="A640" s="122"/>
      <c r="B640" s="122"/>
      <c r="C640" s="122"/>
    </row>
    <row r="641" spans="1:3" x14ac:dyDescent="0.2">
      <c r="A641" s="122"/>
      <c r="B641" s="122"/>
      <c r="C641" s="122"/>
    </row>
    <row r="642" spans="1:3" x14ac:dyDescent="0.2">
      <c r="A642" s="122"/>
      <c r="B642" s="122"/>
      <c r="C642" s="122"/>
    </row>
    <row r="643" spans="1:3" x14ac:dyDescent="0.2">
      <c r="A643" s="122"/>
      <c r="B643" s="122"/>
      <c r="C643" s="122"/>
    </row>
    <row r="644" spans="1:3" x14ac:dyDescent="0.2">
      <c r="A644" s="122"/>
      <c r="B644" s="122"/>
      <c r="C644" s="122"/>
    </row>
    <row r="645" spans="1:3" x14ac:dyDescent="0.2">
      <c r="A645" s="122"/>
      <c r="B645" s="122"/>
      <c r="C645" s="122"/>
    </row>
    <row r="646" spans="1:3" x14ac:dyDescent="0.2">
      <c r="A646" s="122"/>
      <c r="B646" s="122"/>
      <c r="C646" s="122"/>
    </row>
    <row r="647" spans="1:3" x14ac:dyDescent="0.2">
      <c r="A647" s="122"/>
      <c r="B647" s="122"/>
      <c r="C647" s="122"/>
    </row>
    <row r="648" spans="1:3" x14ac:dyDescent="0.2">
      <c r="A648" s="122"/>
      <c r="B648" s="122"/>
      <c r="C648" s="122"/>
    </row>
    <row r="649" spans="1:3" x14ac:dyDescent="0.2">
      <c r="A649" s="122"/>
      <c r="B649" s="122"/>
      <c r="C649" s="122"/>
    </row>
    <row r="650" spans="1:3" x14ac:dyDescent="0.2">
      <c r="A650" s="122"/>
      <c r="B650" s="122"/>
      <c r="C650" s="122"/>
    </row>
    <row r="651" spans="1:3" x14ac:dyDescent="0.2">
      <c r="A651" s="122"/>
      <c r="B651" s="122"/>
      <c r="C651" s="122"/>
    </row>
    <row r="652" spans="1:3" x14ac:dyDescent="0.2">
      <c r="A652" s="122"/>
      <c r="B652" s="122"/>
      <c r="C652" s="122"/>
    </row>
    <row r="653" spans="1:3" x14ac:dyDescent="0.2">
      <c r="A653" s="122"/>
      <c r="B653" s="122"/>
      <c r="C653" s="122"/>
    </row>
    <row r="654" spans="1:3" x14ac:dyDescent="0.2">
      <c r="A654" s="122"/>
      <c r="B654" s="122"/>
      <c r="C654" s="122"/>
    </row>
    <row r="655" spans="1:3" x14ac:dyDescent="0.2">
      <c r="A655" s="122"/>
      <c r="B655" s="122"/>
      <c r="C655" s="122"/>
    </row>
    <row r="656" spans="1:3" x14ac:dyDescent="0.2">
      <c r="A656" s="122"/>
      <c r="B656" s="122"/>
      <c r="C656" s="122"/>
    </row>
    <row r="657" spans="1:3" x14ac:dyDescent="0.2">
      <c r="A657" s="122"/>
      <c r="B657" s="122"/>
      <c r="C657" s="122"/>
    </row>
    <row r="658" spans="1:3" x14ac:dyDescent="0.2">
      <c r="A658" s="122"/>
      <c r="B658" s="122"/>
      <c r="C658" s="122"/>
    </row>
    <row r="659" spans="1:3" x14ac:dyDescent="0.2">
      <c r="A659" s="122"/>
      <c r="B659" s="122"/>
      <c r="C659" s="122"/>
    </row>
    <row r="660" spans="1:3" x14ac:dyDescent="0.2">
      <c r="A660" s="122"/>
      <c r="B660" s="122"/>
      <c r="C660" s="122"/>
    </row>
    <row r="661" spans="1:3" x14ac:dyDescent="0.2">
      <c r="A661" s="122"/>
      <c r="B661" s="122"/>
      <c r="C661" s="122"/>
    </row>
    <row r="662" spans="1:3" x14ac:dyDescent="0.2">
      <c r="A662" s="122"/>
      <c r="B662" s="122"/>
      <c r="C662" s="122"/>
    </row>
    <row r="663" spans="1:3" x14ac:dyDescent="0.2">
      <c r="A663" s="122"/>
      <c r="B663" s="122"/>
      <c r="C663" s="122"/>
    </row>
    <row r="664" spans="1:3" x14ac:dyDescent="0.2">
      <c r="A664" s="122"/>
      <c r="B664" s="122"/>
      <c r="C664" s="122"/>
    </row>
    <row r="665" spans="1:3" x14ac:dyDescent="0.2">
      <c r="A665" s="122"/>
      <c r="B665" s="122"/>
      <c r="C665" s="122"/>
    </row>
  </sheetData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3">
    <mergeCell ref="E4:F4"/>
    <mergeCell ref="G4:H4"/>
    <mergeCell ref="E28:F28"/>
  </mergeCells>
  <phoneticPr fontId="0" type="noConversion"/>
  <dataValidations count="3">
    <dataValidation type="list" allowBlank="1" showInputMessage="1" showErrorMessage="1" sqref="B10" xr:uid="{00000000-0002-0000-0100-000000000000}">
      <formula1>"Ja,Nei"</formula1>
    </dataValidation>
    <dataValidation type="list" allowBlank="1" showInputMessage="1" showErrorMessage="1" sqref="B6" xr:uid="{00000000-0002-0000-0100-000001000000}">
      <formula1>"1,2,3,4,5A,5B,6,7"</formula1>
    </dataValidation>
    <dataValidation type="list" allowBlank="1" showInputMessage="1" showErrorMessage="1" sqref="B7" xr:uid="{A388352A-B7DC-4968-AA93-FD7BF0742709}">
      <formula1>"-,Ja,Nei"</formula1>
    </dataValidation>
  </dataValidations>
  <pageMargins left="0.5" right="0.3" top="0.7" bottom="0.7" header="0.5" footer="0.5"/>
  <pageSetup paperSize="9" scale="57" orientation="portrait" r:id="rId2"/>
  <headerFooter alignWithMargins="0">
    <oddHeader>&amp;A</oddHeader>
    <oddFooter>Side &amp;P</oddFooter>
  </headerFooter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E8CDB8-0121-42CB-B89C-8A676CCA03D3}">
          <x14:formula1>
            <xm:f>Satser!$M$113:$M$122</xm:f>
          </x14:formula1>
          <xm:sqref>B8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E129" sqref="E129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>
    <pageSetUpPr fitToPage="1"/>
  </sheetPr>
  <dimension ref="A1:AK275"/>
  <sheetViews>
    <sheetView topLeftCell="G48" workbookViewId="0">
      <selection activeCell="N60" sqref="N60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8" width="11.140625" customWidth="1"/>
    <col min="9" max="9" width="18.7109375" customWidth="1"/>
    <col min="10" max="10" width="15.42578125" customWidth="1"/>
    <col min="11" max="11" width="12" customWidth="1"/>
    <col min="12" max="12" width="25.7109375" customWidth="1"/>
    <col min="13" max="13" width="9.140625" customWidth="1"/>
    <col min="14" max="14" width="11" customWidth="1"/>
    <col min="23" max="23" width="22.140625" customWidth="1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24" ht="15" x14ac:dyDescent="0.25">
      <c r="A2" s="66"/>
      <c r="B2" s="41" t="s">
        <v>17</v>
      </c>
      <c r="C2" s="42"/>
      <c r="D2" s="42"/>
      <c r="E2" s="42"/>
      <c r="F2" s="42"/>
      <c r="G2" s="42"/>
      <c r="H2" s="42"/>
      <c r="I2" s="42"/>
      <c r="J2" s="68"/>
      <c r="L2" s="24" t="s">
        <v>47</v>
      </c>
      <c r="M2" s="23">
        <f>Utslag!B36</f>
        <v>0</v>
      </c>
      <c r="N2" s="25" t="s">
        <v>3</v>
      </c>
      <c r="W2">
        <v>2022</v>
      </c>
      <c r="X2" s="177" t="s">
        <v>292</v>
      </c>
    </row>
    <row r="3" spans="1:24" ht="15" x14ac:dyDescent="0.25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249" t="s">
        <v>367</v>
      </c>
      <c r="H3" s="249" t="s">
        <v>368</v>
      </c>
      <c r="I3" s="3">
        <v>6</v>
      </c>
      <c r="J3" s="95">
        <v>7</v>
      </c>
      <c r="L3" s="24" t="s">
        <v>52</v>
      </c>
      <c r="M3" s="23">
        <f>Utslag!B35</f>
        <v>0</v>
      </c>
      <c r="N3" s="25" t="s">
        <v>3</v>
      </c>
      <c r="W3" s="177" t="s">
        <v>293</v>
      </c>
    </row>
    <row r="4" spans="1:24" x14ac:dyDescent="0.2">
      <c r="A4" s="73" t="s">
        <v>47</v>
      </c>
      <c r="B4" s="200" t="s">
        <v>226</v>
      </c>
      <c r="C4" s="34">
        <v>50</v>
      </c>
      <c r="D4" s="34">
        <v>50</v>
      </c>
      <c r="E4" s="34">
        <v>50</v>
      </c>
      <c r="F4" s="34">
        <v>50</v>
      </c>
      <c r="G4" s="171">
        <v>75</v>
      </c>
      <c r="H4" s="171">
        <v>75</v>
      </c>
      <c r="I4" s="171">
        <v>90</v>
      </c>
      <c r="J4" s="172">
        <v>90</v>
      </c>
      <c r="L4" s="1"/>
      <c r="M4" s="1"/>
      <c r="W4" s="177" t="s">
        <v>270</v>
      </c>
      <c r="X4" s="178">
        <v>0.5</v>
      </c>
    </row>
    <row r="5" spans="1:24" x14ac:dyDescent="0.2">
      <c r="A5" s="73" t="s">
        <v>50</v>
      </c>
      <c r="B5" s="200" t="s">
        <v>226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L5" s="257" t="s">
        <v>215</v>
      </c>
      <c r="M5" s="258">
        <f>M3*0.6-M3*0.6</f>
        <v>0</v>
      </c>
      <c r="W5" s="177" t="s">
        <v>294</v>
      </c>
      <c r="X5" s="178">
        <v>0.5</v>
      </c>
    </row>
    <row r="6" spans="1:24" x14ac:dyDescent="0.2">
      <c r="A6" s="73" t="s">
        <v>48</v>
      </c>
      <c r="B6" s="200" t="s">
        <v>226</v>
      </c>
      <c r="C6" s="310">
        <v>60</v>
      </c>
      <c r="D6" s="310">
        <v>60</v>
      </c>
      <c r="E6" s="310">
        <v>60</v>
      </c>
      <c r="F6" s="310">
        <v>60</v>
      </c>
      <c r="G6" s="310">
        <v>106</v>
      </c>
      <c r="H6" s="310">
        <v>106</v>
      </c>
      <c r="I6" s="310">
        <v>106</v>
      </c>
      <c r="J6" s="310">
        <v>106</v>
      </c>
      <c r="L6" s="257" t="s">
        <v>219</v>
      </c>
      <c r="M6" s="259">
        <f>HLOOKUP(Utslag!B6,J12:P16,5)</f>
        <v>162</v>
      </c>
      <c r="W6" s="177" t="s">
        <v>272</v>
      </c>
      <c r="X6" s="178">
        <v>0.15</v>
      </c>
    </row>
    <row r="7" spans="1:24" x14ac:dyDescent="0.2">
      <c r="A7" s="73" t="s">
        <v>62</v>
      </c>
      <c r="B7" s="200" t="s">
        <v>226</v>
      </c>
      <c r="C7" s="34">
        <v>200</v>
      </c>
      <c r="D7" s="34">
        <v>200</v>
      </c>
      <c r="E7" s="34">
        <v>200</v>
      </c>
      <c r="F7" s="34">
        <v>200</v>
      </c>
      <c r="G7" s="34">
        <v>200</v>
      </c>
      <c r="H7" s="34">
        <v>200</v>
      </c>
      <c r="I7" s="34">
        <v>200</v>
      </c>
      <c r="J7" s="34">
        <v>200</v>
      </c>
      <c r="L7" s="257" t="s">
        <v>218</v>
      </c>
      <c r="M7" s="259">
        <f>M5*M6</f>
        <v>0</v>
      </c>
      <c r="X7" s="178"/>
    </row>
    <row r="8" spans="1:24" x14ac:dyDescent="0.2">
      <c r="A8" s="73" t="s">
        <v>143</v>
      </c>
      <c r="B8" s="200" t="s">
        <v>226</v>
      </c>
      <c r="C8" s="34">
        <v>450</v>
      </c>
      <c r="D8" s="34">
        <v>450</v>
      </c>
      <c r="E8" s="34">
        <v>450</v>
      </c>
      <c r="F8" s="34">
        <v>450</v>
      </c>
      <c r="G8" s="34">
        <v>450</v>
      </c>
      <c r="H8" s="34">
        <v>450</v>
      </c>
      <c r="I8" s="34">
        <v>450</v>
      </c>
      <c r="J8" s="34">
        <v>450</v>
      </c>
      <c r="W8" s="177" t="s">
        <v>66</v>
      </c>
      <c r="X8" s="178"/>
    </row>
    <row r="9" spans="1:24" x14ac:dyDescent="0.2">
      <c r="A9" s="74" t="s">
        <v>141</v>
      </c>
      <c r="B9" s="249" t="s">
        <v>226</v>
      </c>
      <c r="C9" s="36">
        <v>450</v>
      </c>
      <c r="D9" s="36">
        <v>450</v>
      </c>
      <c r="E9" s="36">
        <v>450</v>
      </c>
      <c r="F9" s="36">
        <v>450</v>
      </c>
      <c r="G9" s="36">
        <v>450</v>
      </c>
      <c r="H9" s="36">
        <v>450</v>
      </c>
      <c r="I9" s="36">
        <v>450</v>
      </c>
      <c r="J9" s="36">
        <v>450</v>
      </c>
      <c r="W9" s="177" t="s">
        <v>4</v>
      </c>
      <c r="X9" s="178">
        <v>1430</v>
      </c>
    </row>
    <row r="10" spans="1:24" x14ac:dyDescent="0.2">
      <c r="A10" s="253" t="s">
        <v>78</v>
      </c>
      <c r="B10" s="254"/>
      <c r="C10" s="56">
        <v>50</v>
      </c>
      <c r="D10" s="255">
        <f>$C$10</f>
        <v>50</v>
      </c>
      <c r="E10" s="255">
        <f t="shared" ref="E10:I10" si="0">$C$10</f>
        <v>50</v>
      </c>
      <c r="F10" s="255">
        <f t="shared" si="0"/>
        <v>50</v>
      </c>
      <c r="G10" s="255">
        <f t="shared" si="0"/>
        <v>50</v>
      </c>
      <c r="H10" s="255">
        <f t="shared" si="0"/>
        <v>50</v>
      </c>
      <c r="I10" s="255">
        <f t="shared" si="0"/>
        <v>50</v>
      </c>
      <c r="J10" s="255">
        <f>$C$10</f>
        <v>50</v>
      </c>
      <c r="W10" s="177" t="s">
        <v>16</v>
      </c>
      <c r="X10" s="178">
        <v>800</v>
      </c>
    </row>
    <row r="11" spans="1:24" x14ac:dyDescent="0.2">
      <c r="A11" s="1"/>
      <c r="B11" s="2"/>
      <c r="C11" s="1"/>
      <c r="D11" s="1"/>
      <c r="E11" s="1"/>
      <c r="F11" s="1"/>
      <c r="G11" s="1"/>
      <c r="H11" s="1"/>
      <c r="I11" s="1"/>
      <c r="J11" s="1"/>
      <c r="W11" s="177" t="s">
        <v>6</v>
      </c>
      <c r="X11" s="178">
        <v>179</v>
      </c>
    </row>
    <row r="12" spans="1:24" x14ac:dyDescent="0.2">
      <c r="A12" s="66"/>
      <c r="B12" s="41" t="s">
        <v>142</v>
      </c>
      <c r="C12" s="42"/>
      <c r="D12" s="42"/>
      <c r="E12" s="68"/>
      <c r="F12" s="5"/>
      <c r="G12" s="5"/>
      <c r="H12" s="5"/>
      <c r="I12" s="259"/>
      <c r="J12" s="260">
        <v>1</v>
      </c>
      <c r="K12" s="260">
        <v>2</v>
      </c>
      <c r="L12" s="260">
        <v>3</v>
      </c>
      <c r="M12" s="260">
        <v>4</v>
      </c>
      <c r="N12" s="260">
        <v>5</v>
      </c>
      <c r="O12" s="260">
        <v>6</v>
      </c>
      <c r="P12" s="261">
        <v>7</v>
      </c>
      <c r="Q12" s="262"/>
      <c r="R12" s="262"/>
      <c r="W12" s="177" t="s">
        <v>7</v>
      </c>
      <c r="X12" s="178">
        <v>450</v>
      </c>
    </row>
    <row r="13" spans="1:24" x14ac:dyDescent="0.2">
      <c r="A13" s="223" t="s">
        <v>78</v>
      </c>
      <c r="B13" s="220" t="s">
        <v>226</v>
      </c>
      <c r="C13" s="308">
        <f>SUM(Utslag!$B$36:$B$41)+(Utslag!$B$35*0.6)</f>
        <v>0</v>
      </c>
      <c r="D13" s="292">
        <f>C10</f>
        <v>50</v>
      </c>
      <c r="E13" s="256">
        <f>C13*D13</f>
        <v>0</v>
      </c>
      <c r="F13" s="5"/>
      <c r="G13" s="5"/>
      <c r="H13" s="5"/>
      <c r="I13" s="259"/>
      <c r="J13" s="262"/>
      <c r="K13" s="262"/>
      <c r="L13" s="262"/>
      <c r="M13" s="262"/>
      <c r="N13" s="262"/>
      <c r="O13" s="262"/>
      <c r="P13" s="262"/>
      <c r="Q13" s="262"/>
      <c r="R13" s="262"/>
      <c r="W13" s="177" t="s">
        <v>8</v>
      </c>
      <c r="X13" s="178">
        <v>200</v>
      </c>
    </row>
    <row r="14" spans="1:24" x14ac:dyDescent="0.2">
      <c r="A14" s="73" t="s">
        <v>47</v>
      </c>
      <c r="B14" s="220" t="s">
        <v>226</v>
      </c>
      <c r="C14" s="309">
        <f>M2+(M3*0.6)</f>
        <v>0</v>
      </c>
      <c r="D14" s="44">
        <f>HLOOKUP(Utslag!B6,AKkorn2,2)</f>
        <v>50</v>
      </c>
      <c r="E14" s="80">
        <f>C14*D14</f>
        <v>0</v>
      </c>
      <c r="F14" s="37"/>
      <c r="G14" s="37"/>
      <c r="H14" s="5"/>
      <c r="I14" s="257" t="s">
        <v>216</v>
      </c>
      <c r="J14" s="263">
        <v>0</v>
      </c>
      <c r="K14" s="263">
        <v>0</v>
      </c>
      <c r="L14" s="263">
        <v>85</v>
      </c>
      <c r="M14" s="263">
        <v>105</v>
      </c>
      <c r="N14" s="263">
        <v>268</v>
      </c>
      <c r="O14" s="263">
        <v>313</v>
      </c>
      <c r="P14" s="263">
        <v>359</v>
      </c>
      <c r="Q14" s="263"/>
      <c r="R14" s="263"/>
      <c r="W14" s="177" t="s">
        <v>10</v>
      </c>
      <c r="X14" s="178">
        <v>75</v>
      </c>
    </row>
    <row r="15" spans="1:24" x14ac:dyDescent="0.2">
      <c r="A15" s="73" t="s">
        <v>50</v>
      </c>
      <c r="B15" s="220" t="s">
        <v>226</v>
      </c>
      <c r="C15" s="221">
        <f>Utslag!$B$38</f>
        <v>0</v>
      </c>
      <c r="D15" s="44">
        <f>HLOOKUP(Utslag!B6,AKkorn2,3)</f>
        <v>100</v>
      </c>
      <c r="E15" s="80">
        <f t="shared" ref="E15:E18" si="1">C15*D15</f>
        <v>0</v>
      </c>
      <c r="F15" s="37"/>
      <c r="G15" s="37"/>
      <c r="H15" s="5"/>
      <c r="I15" s="257" t="s">
        <v>217</v>
      </c>
      <c r="J15" s="263">
        <v>162</v>
      </c>
      <c r="K15" s="263">
        <v>162</v>
      </c>
      <c r="L15" s="263">
        <v>162</v>
      </c>
      <c r="M15" s="263">
        <v>162</v>
      </c>
      <c r="N15" s="263">
        <v>162</v>
      </c>
      <c r="O15" s="263">
        <v>162</v>
      </c>
      <c r="P15" s="263">
        <v>162</v>
      </c>
      <c r="Q15" s="263"/>
      <c r="R15" s="263"/>
      <c r="W15" s="177" t="s">
        <v>11</v>
      </c>
      <c r="X15" s="178">
        <v>7</v>
      </c>
    </row>
    <row r="16" spans="1:24" x14ac:dyDescent="0.2">
      <c r="A16" s="73" t="s">
        <v>48</v>
      </c>
      <c r="B16" s="220" t="s">
        <v>226</v>
      </c>
      <c r="C16" s="252">
        <f>Utslag!$B$37</f>
        <v>0</v>
      </c>
      <c r="D16" s="44">
        <f>HLOOKUP(Utslag!B6,AKkorn2,4)</f>
        <v>60</v>
      </c>
      <c r="E16" s="80">
        <f t="shared" si="1"/>
        <v>0</v>
      </c>
      <c r="F16" s="37"/>
      <c r="G16" s="37"/>
      <c r="H16" s="5"/>
      <c r="I16" s="257" t="s">
        <v>156</v>
      </c>
      <c r="J16" s="259">
        <f>J14+J15</f>
        <v>162</v>
      </c>
      <c r="K16" s="259">
        <f t="shared" ref="K16:P16" si="2">K14+K15</f>
        <v>162</v>
      </c>
      <c r="L16" s="259">
        <f t="shared" si="2"/>
        <v>247</v>
      </c>
      <c r="M16" s="259">
        <f t="shared" si="2"/>
        <v>267</v>
      </c>
      <c r="N16" s="259">
        <f t="shared" si="2"/>
        <v>430</v>
      </c>
      <c r="O16" s="259">
        <f t="shared" si="2"/>
        <v>475</v>
      </c>
      <c r="P16" s="259">
        <f t="shared" si="2"/>
        <v>521</v>
      </c>
      <c r="Q16" s="259"/>
      <c r="R16" s="259"/>
      <c r="W16" s="177" t="s">
        <v>127</v>
      </c>
      <c r="X16" s="178">
        <v>7</v>
      </c>
    </row>
    <row r="17" spans="1:24" x14ac:dyDescent="0.2">
      <c r="A17" s="73" t="s">
        <v>62</v>
      </c>
      <c r="B17" s="220" t="s">
        <v>226</v>
      </c>
      <c r="C17" s="252">
        <f>Utslag!$B$39</f>
        <v>0</v>
      </c>
      <c r="D17" s="44">
        <f>HLOOKUP(Utslag!B6,AKkorn2,5)</f>
        <v>200</v>
      </c>
      <c r="E17" s="80">
        <f>C17*D17</f>
        <v>0</v>
      </c>
      <c r="F17" s="39"/>
      <c r="G17" s="39"/>
      <c r="H17" s="5"/>
      <c r="W17" s="177" t="s">
        <v>295</v>
      </c>
      <c r="X17" s="178">
        <v>0.5</v>
      </c>
    </row>
    <row r="18" spans="1:24" x14ac:dyDescent="0.2">
      <c r="A18" s="73" t="s">
        <v>143</v>
      </c>
      <c r="B18" s="220" t="s">
        <v>226</v>
      </c>
      <c r="C18" s="252">
        <f>Utslag!$B$40</f>
        <v>0</v>
      </c>
      <c r="D18" s="44">
        <f>HLOOKUP(Utslag!B6,AKkorn2,6)</f>
        <v>450</v>
      </c>
      <c r="E18" s="80">
        <f t="shared" si="1"/>
        <v>0</v>
      </c>
      <c r="F18" s="39"/>
      <c r="G18" s="39"/>
      <c r="H18" s="5"/>
      <c r="I18" s="1"/>
      <c r="L18" s="179">
        <f>HLOOKUP(Utslag!$B$6,$I$12:$P$16,5)</f>
        <v>162</v>
      </c>
      <c r="W18" s="177" t="s">
        <v>296</v>
      </c>
      <c r="X18" s="178">
        <v>3</v>
      </c>
    </row>
    <row r="19" spans="1:24" x14ac:dyDescent="0.2">
      <c r="A19" s="73" t="s">
        <v>141</v>
      </c>
      <c r="B19" s="220" t="s">
        <v>226</v>
      </c>
      <c r="C19" s="252">
        <f>Utslag!$B$41</f>
        <v>0</v>
      </c>
      <c r="D19" s="44">
        <f>HLOOKUP(Utslag!B6,AKkorn2,7)</f>
        <v>450</v>
      </c>
      <c r="E19" s="80">
        <f>C19*D19</f>
        <v>0</v>
      </c>
      <c r="F19" s="17"/>
      <c r="G19" s="17"/>
      <c r="H19" s="5"/>
      <c r="W19" s="177" t="s">
        <v>134</v>
      </c>
      <c r="X19" s="178">
        <v>0.85</v>
      </c>
    </row>
    <row r="20" spans="1:24" x14ac:dyDescent="0.2">
      <c r="A20" s="83"/>
      <c r="B20" s="96" t="s">
        <v>123</v>
      </c>
      <c r="C20" s="3"/>
      <c r="D20" s="3"/>
      <c r="E20" s="86">
        <f>SUM(E13:E19)</f>
        <v>0</v>
      </c>
      <c r="F20" s="6"/>
      <c r="G20" s="6"/>
      <c r="H20" s="5"/>
      <c r="W20" s="177" t="s">
        <v>297</v>
      </c>
      <c r="X20" s="178">
        <v>10</v>
      </c>
    </row>
    <row r="21" spans="1:24" x14ac:dyDescent="0.2">
      <c r="A21" s="17"/>
      <c r="B21" s="159"/>
      <c r="C21" s="5"/>
      <c r="D21" s="5"/>
      <c r="E21" s="39"/>
      <c r="F21" s="6"/>
      <c r="G21" s="6"/>
      <c r="H21" s="5"/>
      <c r="L21" t="s">
        <v>245</v>
      </c>
      <c r="W21" s="177" t="s">
        <v>207</v>
      </c>
      <c r="X21" s="178">
        <v>200</v>
      </c>
    </row>
    <row r="22" spans="1:24" x14ac:dyDescent="0.2">
      <c r="A22" s="17"/>
      <c r="B22" s="159"/>
      <c r="C22" s="5"/>
      <c r="D22" s="5"/>
      <c r="E22" s="39"/>
      <c r="F22" s="6"/>
      <c r="G22" s="6"/>
      <c r="H22" s="5"/>
      <c r="L22" t="s">
        <v>18</v>
      </c>
      <c r="M22">
        <v>1</v>
      </c>
      <c r="N22">
        <v>2</v>
      </c>
      <c r="O22">
        <v>3</v>
      </c>
      <c r="P22">
        <v>4</v>
      </c>
      <c r="Q22" s="177" t="s">
        <v>367</v>
      </c>
      <c r="R22" s="177" t="s">
        <v>368</v>
      </c>
      <c r="S22" s="177">
        <v>6</v>
      </c>
      <c r="X22" s="178"/>
    </row>
    <row r="23" spans="1:24" x14ac:dyDescent="0.2">
      <c r="B23" s="5"/>
      <c r="C23" s="5"/>
      <c r="D23" s="5"/>
      <c r="E23" s="5"/>
      <c r="F23" s="3"/>
      <c r="G23" s="5"/>
      <c r="H23" s="5"/>
      <c r="I23" s="21"/>
      <c r="L23" s="180" t="s">
        <v>266</v>
      </c>
      <c r="M23">
        <v>3</v>
      </c>
      <c r="N23">
        <v>3</v>
      </c>
      <c r="O23">
        <v>3</v>
      </c>
      <c r="P23">
        <v>3</v>
      </c>
      <c r="Q23">
        <v>3</v>
      </c>
      <c r="R23">
        <v>3</v>
      </c>
      <c r="S23">
        <v>3</v>
      </c>
      <c r="W23" s="177" t="s">
        <v>217</v>
      </c>
      <c r="X23" s="178">
        <v>0</v>
      </c>
    </row>
    <row r="24" spans="1:24" x14ac:dyDescent="0.2">
      <c r="A24" s="1"/>
      <c r="B24" s="66"/>
      <c r="C24" s="42"/>
      <c r="D24" s="42"/>
      <c r="E24" s="67"/>
      <c r="F24" s="70"/>
      <c r="G24" s="5"/>
      <c r="H24" s="1"/>
      <c r="I24" s="17"/>
      <c r="L24" s="180" t="s">
        <v>287</v>
      </c>
      <c r="M24">
        <v>1.5</v>
      </c>
      <c r="N24">
        <v>1.5</v>
      </c>
      <c r="O24">
        <v>1.5</v>
      </c>
      <c r="P24">
        <v>1.5</v>
      </c>
      <c r="Q24">
        <v>1.5</v>
      </c>
      <c r="R24">
        <v>1.5</v>
      </c>
      <c r="S24">
        <v>1.5</v>
      </c>
      <c r="W24" s="177" t="s">
        <v>47</v>
      </c>
      <c r="X24" s="178">
        <v>87</v>
      </c>
    </row>
    <row r="25" spans="1:24" x14ac:dyDescent="0.2">
      <c r="L25" t="s">
        <v>267</v>
      </c>
      <c r="M25">
        <v>3</v>
      </c>
      <c r="N25">
        <v>3</v>
      </c>
      <c r="O25">
        <v>3</v>
      </c>
      <c r="P25">
        <v>3</v>
      </c>
      <c r="Q25">
        <v>3</v>
      </c>
      <c r="R25">
        <v>3</v>
      </c>
      <c r="S25">
        <v>3</v>
      </c>
      <c r="W25" s="177" t="s">
        <v>48</v>
      </c>
      <c r="X25" s="178">
        <v>30</v>
      </c>
    </row>
    <row r="26" spans="1:24" x14ac:dyDescent="0.2">
      <c r="B26" s="78" t="s">
        <v>26</v>
      </c>
      <c r="C26" s="50"/>
      <c r="D26" s="50"/>
      <c r="E26" s="50"/>
      <c r="F26" s="50"/>
      <c r="G26" s="50"/>
      <c r="H26" s="87"/>
      <c r="L26" t="s">
        <v>141</v>
      </c>
      <c r="M26">
        <v>3</v>
      </c>
      <c r="N26">
        <v>3</v>
      </c>
      <c r="O26">
        <v>3</v>
      </c>
      <c r="P26">
        <v>3</v>
      </c>
      <c r="Q26">
        <v>3</v>
      </c>
      <c r="R26">
        <v>3</v>
      </c>
      <c r="S26">
        <v>3</v>
      </c>
      <c r="W26" s="177" t="s">
        <v>50</v>
      </c>
      <c r="X26" s="178">
        <v>75</v>
      </c>
    </row>
    <row r="27" spans="1:24" x14ac:dyDescent="0.2">
      <c r="B27" s="71" t="s">
        <v>4</v>
      </c>
      <c r="C27" s="8" t="s">
        <v>27</v>
      </c>
      <c r="D27" s="8" t="s">
        <v>28</v>
      </c>
      <c r="E27" s="4" t="s">
        <v>29</v>
      </c>
      <c r="F27" s="4" t="s">
        <v>30</v>
      </c>
      <c r="G27" s="4"/>
      <c r="H27" s="72" t="s">
        <v>31</v>
      </c>
      <c r="J27" s="159" t="s">
        <v>189</v>
      </c>
      <c r="L27" t="s">
        <v>270</v>
      </c>
      <c r="M27">
        <v>1.5</v>
      </c>
      <c r="N27">
        <v>1.5</v>
      </c>
      <c r="O27">
        <v>1.5</v>
      </c>
      <c r="P27">
        <v>1.5</v>
      </c>
      <c r="Q27">
        <v>1.5</v>
      </c>
      <c r="R27">
        <v>1.5</v>
      </c>
      <c r="S27">
        <v>1.5</v>
      </c>
      <c r="W27" s="177" t="s">
        <v>62</v>
      </c>
      <c r="X27" s="178">
        <v>75</v>
      </c>
    </row>
    <row r="28" spans="1:24" x14ac:dyDescent="0.2">
      <c r="B28" s="242" t="s">
        <v>259</v>
      </c>
      <c r="C28" s="48"/>
      <c r="D28" s="49">
        <v>0</v>
      </c>
      <c r="E28" s="248">
        <f>IF(Utslag!B43&lt;17,Utslag!B43,16)</f>
        <v>0</v>
      </c>
      <c r="F28" s="50">
        <f t="shared" ref="F28:F34" si="3">C28*E28</f>
        <v>0</v>
      </c>
      <c r="G28" s="50"/>
      <c r="H28" s="87">
        <f t="shared" ref="H28:H34" si="4">D28*E28</f>
        <v>0</v>
      </c>
      <c r="J28">
        <f>IF('Ark18'!C10&gt;0,IF('Ark18'!C10+'Ark18'!C11&lt;17,'Ark18'!C10+'Ark18'!C11,16),0)</f>
        <v>0</v>
      </c>
      <c r="L28" t="s">
        <v>271</v>
      </c>
      <c r="M28">
        <v>1.5</v>
      </c>
      <c r="N28">
        <v>1.5</v>
      </c>
      <c r="O28">
        <v>1.5</v>
      </c>
      <c r="P28">
        <v>1.5</v>
      </c>
      <c r="Q28">
        <v>1.5</v>
      </c>
      <c r="R28">
        <v>1.5</v>
      </c>
      <c r="S28">
        <v>1.5</v>
      </c>
      <c r="W28" s="177" t="s">
        <v>143</v>
      </c>
      <c r="X28" s="178">
        <v>75</v>
      </c>
    </row>
    <row r="29" spans="1:24" x14ac:dyDescent="0.2">
      <c r="B29" s="223" t="s">
        <v>260</v>
      </c>
      <c r="C29" s="51"/>
      <c r="D29" s="52">
        <v>0</v>
      </c>
      <c r="E29" s="5">
        <f>IF(Utslag!$B$43&lt;17,0,IF(Utslag!$B$43&lt;26,Utslag!$B$43-16,9))</f>
        <v>0</v>
      </c>
      <c r="F29" s="50">
        <f t="shared" si="3"/>
        <v>0</v>
      </c>
      <c r="G29" s="50"/>
      <c r="H29" s="87">
        <f t="shared" si="4"/>
        <v>0</v>
      </c>
      <c r="J29">
        <f>IF('Ark18'!C10&gt;0,IF('Ark18'!C10+'Ark18'!C11&lt;17,0,IF('Ark18'!C10+'Ark18'!C11&lt;26,'Ark18'!C10+'Ark18'!C11-16,9)),0)</f>
        <v>0</v>
      </c>
      <c r="L29" t="s">
        <v>272</v>
      </c>
      <c r="M29">
        <v>0.5</v>
      </c>
      <c r="N29">
        <v>0.5</v>
      </c>
      <c r="O29">
        <v>0.5</v>
      </c>
      <c r="P29">
        <v>0.5</v>
      </c>
      <c r="Q29">
        <v>0.5</v>
      </c>
      <c r="R29">
        <v>0.5</v>
      </c>
      <c r="S29">
        <v>0.5</v>
      </c>
      <c r="W29" s="177" t="s">
        <v>141</v>
      </c>
      <c r="X29" s="178">
        <v>75</v>
      </c>
    </row>
    <row r="30" spans="1:24" x14ac:dyDescent="0.2">
      <c r="B30" s="73" t="s">
        <v>40</v>
      </c>
      <c r="C30" s="51"/>
      <c r="D30" s="52">
        <v>0</v>
      </c>
      <c r="E30" s="5">
        <f>IF(Utslag!B43&lt;26,0,IF(Utslag!B43&lt;51,Utslag!B43-25,25))</f>
        <v>0</v>
      </c>
      <c r="F30" s="17">
        <f t="shared" si="3"/>
        <v>0</v>
      </c>
      <c r="G30" s="17"/>
      <c r="H30" s="88">
        <f t="shared" si="4"/>
        <v>0</v>
      </c>
    </row>
    <row r="31" spans="1:24" x14ac:dyDescent="0.2">
      <c r="B31" s="269" t="s">
        <v>259</v>
      </c>
      <c r="C31" s="51">
        <v>5328</v>
      </c>
      <c r="D31" s="52">
        <v>6103</v>
      </c>
      <c r="E31" s="248">
        <f>IF(Utslag!B43&lt;15,Utslag!B43,14)</f>
        <v>0</v>
      </c>
      <c r="F31" s="50">
        <f t="shared" si="3"/>
        <v>0</v>
      </c>
      <c r="G31" s="50"/>
      <c r="H31" s="87">
        <f t="shared" si="4"/>
        <v>0</v>
      </c>
      <c r="L31" s="180" t="s">
        <v>266</v>
      </c>
      <c r="M31" s="274">
        <f>Utslag!B26</f>
        <v>0</v>
      </c>
      <c r="N31">
        <f>HLOOKUP(Utslag!$B$6,$L$22:$S$29,2)</f>
        <v>3</v>
      </c>
      <c r="O31">
        <f>M31*N31</f>
        <v>0</v>
      </c>
    </row>
    <row r="32" spans="1:24" x14ac:dyDescent="0.2">
      <c r="B32" s="223" t="s">
        <v>260</v>
      </c>
      <c r="C32" s="51">
        <v>3722</v>
      </c>
      <c r="D32" s="52">
        <v>4497</v>
      </c>
      <c r="E32" s="5">
        <f>IF(Utslag!$B$43&lt;15,0,IF(Utslag!$B$43&lt;30,Utslag!$B$43-14,16))</f>
        <v>0</v>
      </c>
      <c r="F32" s="50">
        <f t="shared" si="3"/>
        <v>0</v>
      </c>
      <c r="G32" s="50"/>
      <c r="H32" s="87">
        <f t="shared" si="4"/>
        <v>0</v>
      </c>
      <c r="L32" s="180" t="s">
        <v>287</v>
      </c>
      <c r="M32" s="274">
        <f>Utslag!B27</f>
        <v>0</v>
      </c>
      <c r="N32">
        <f>HLOOKUP(Utslag!$B$6,$L$22:$S$29,3)</f>
        <v>1.5</v>
      </c>
      <c r="O32">
        <f>M32*N32</f>
        <v>0</v>
      </c>
    </row>
    <row r="33" spans="2:21" x14ac:dyDescent="0.2">
      <c r="B33" s="223" t="s">
        <v>261</v>
      </c>
      <c r="C33" s="51">
        <v>2260</v>
      </c>
      <c r="D33" s="52">
        <v>3035</v>
      </c>
      <c r="E33" s="5">
        <f>IF(Utslag!B43&lt;31,0,IF(Utslag!B43&lt;51,Utslag!B43-30,20))</f>
        <v>0</v>
      </c>
      <c r="F33" s="17">
        <f t="shared" si="3"/>
        <v>0</v>
      </c>
      <c r="G33" s="17"/>
      <c r="H33" s="88">
        <f t="shared" si="4"/>
        <v>0</v>
      </c>
      <c r="L33" t="s">
        <v>267</v>
      </c>
      <c r="M33" s="274">
        <f>Utslag!B28</f>
        <v>0</v>
      </c>
      <c r="N33">
        <f>HLOOKUP(Utslag!$B$6,$L$22:$S$29,4)</f>
        <v>3</v>
      </c>
      <c r="O33">
        <f t="shared" ref="O33:O37" si="5">M33*N33</f>
        <v>0</v>
      </c>
    </row>
    <row r="34" spans="2:21" x14ac:dyDescent="0.2">
      <c r="B34" s="266" t="s">
        <v>210</v>
      </c>
      <c r="C34" s="264">
        <v>1490</v>
      </c>
      <c r="D34" s="265">
        <v>2265</v>
      </c>
      <c r="E34" s="3">
        <f>IF(Utslag!B43&lt;51,0,Utslag!B43-50)</f>
        <v>0</v>
      </c>
      <c r="F34" s="9">
        <f t="shared" si="3"/>
        <v>0</v>
      </c>
      <c r="G34" s="9"/>
      <c r="H34" s="75">
        <f t="shared" si="4"/>
        <v>0</v>
      </c>
      <c r="J34">
        <f>IF('Ark18'!C10&gt;0,IF('Ark18'!C10+'Ark18'!C11&lt;26,0,IF('Ark18'!C10+'Ark18'!C11&lt;51,'Ark18'!C10+'Ark18'!C11-25,25)),0)</f>
        <v>0</v>
      </c>
      <c r="L34" t="s">
        <v>141</v>
      </c>
      <c r="M34" s="274">
        <f>Utslag!B29</f>
        <v>0</v>
      </c>
      <c r="N34">
        <f>HLOOKUP(Utslag!$B$6,$L$22:$S$29,5)</f>
        <v>3</v>
      </c>
      <c r="O34">
        <f t="shared" si="5"/>
        <v>0</v>
      </c>
    </row>
    <row r="35" spans="2:21" x14ac:dyDescent="0.2">
      <c r="B35" s="76"/>
      <c r="C35" s="51"/>
      <c r="D35" s="52"/>
      <c r="E35" s="17"/>
      <c r="F35" s="17"/>
      <c r="G35" s="17"/>
      <c r="H35" s="88"/>
      <c r="L35" t="s">
        <v>270</v>
      </c>
      <c r="M35" s="274">
        <f>Utslag!B30</f>
        <v>0</v>
      </c>
      <c r="N35">
        <f>HLOOKUP(Utslag!$B$6,$L$22:$S$29,6)</f>
        <v>1.5</v>
      </c>
      <c r="O35">
        <f t="shared" si="5"/>
        <v>0</v>
      </c>
    </row>
    <row r="36" spans="2:21" x14ac:dyDescent="0.2">
      <c r="B36" s="78" t="s">
        <v>6</v>
      </c>
      <c r="C36" s="48"/>
      <c r="D36" s="49"/>
      <c r="E36" s="50"/>
      <c r="F36" s="50"/>
      <c r="G36" s="50"/>
      <c r="H36" s="87"/>
      <c r="L36" t="s">
        <v>271</v>
      </c>
      <c r="M36" s="274">
        <f>Utslag!B31</f>
        <v>0</v>
      </c>
      <c r="N36">
        <f>HLOOKUP(Utslag!$B$6,$L$22:$S$29,7)</f>
        <v>1.5</v>
      </c>
      <c r="O36">
        <f t="shared" si="5"/>
        <v>0</v>
      </c>
    </row>
    <row r="37" spans="2:21" x14ac:dyDescent="0.2">
      <c r="B37" s="73"/>
      <c r="C37" s="51">
        <v>798</v>
      </c>
      <c r="D37" s="52">
        <v>1198</v>
      </c>
      <c r="E37" s="267">
        <f>Utslag!B45</f>
        <v>0</v>
      </c>
      <c r="F37" s="17">
        <f>C37*E37</f>
        <v>0</v>
      </c>
      <c r="G37" s="17"/>
      <c r="H37" s="88">
        <f>D37*E37</f>
        <v>0</v>
      </c>
      <c r="L37" t="s">
        <v>272</v>
      </c>
      <c r="M37" s="274">
        <f>Utslag!B32</f>
        <v>0</v>
      </c>
      <c r="N37">
        <f>HLOOKUP(Utslag!$B$6,$L$22:$S$29,8)</f>
        <v>0.5</v>
      </c>
      <c r="O37">
        <f t="shared" si="5"/>
        <v>0</v>
      </c>
    </row>
    <row r="38" spans="2:21" x14ac:dyDescent="0.2">
      <c r="B38" s="223" t="s">
        <v>277</v>
      </c>
      <c r="C38" s="51">
        <v>0</v>
      </c>
      <c r="D38" s="52">
        <v>0</v>
      </c>
      <c r="E38" s="267"/>
      <c r="F38" s="17">
        <f>C38*E38</f>
        <v>0</v>
      </c>
      <c r="G38" s="17"/>
      <c r="H38" s="88">
        <f>D38*E38</f>
        <v>0</v>
      </c>
      <c r="M38" s="274">
        <f>SUM(M31:M37)</f>
        <v>0</v>
      </c>
      <c r="O38" s="303">
        <f>SUM(O31:O37)</f>
        <v>0</v>
      </c>
    </row>
    <row r="39" spans="2:21" x14ac:dyDescent="0.2">
      <c r="B39" s="78" t="s">
        <v>7</v>
      </c>
      <c r="C39" s="48"/>
      <c r="D39" s="49"/>
      <c r="E39" s="50"/>
      <c r="F39" s="50"/>
      <c r="G39" s="50"/>
      <c r="H39" s="87"/>
    </row>
    <row r="40" spans="2:21" x14ac:dyDescent="0.2">
      <c r="B40" s="73" t="s">
        <v>41</v>
      </c>
      <c r="C40" s="51">
        <v>1702</v>
      </c>
      <c r="D40" s="52">
        <v>1702</v>
      </c>
      <c r="E40" s="5">
        <f>IF(Utslag!B46&lt;125,Utslag!B46,125)</f>
        <v>0</v>
      </c>
      <c r="F40" s="17">
        <f>C40*E40</f>
        <v>0</v>
      </c>
      <c r="G40" s="17"/>
      <c r="H40" s="88">
        <f>D40*E40</f>
        <v>0</v>
      </c>
      <c r="L40" s="177" t="s">
        <v>18</v>
      </c>
      <c r="M40">
        <v>1</v>
      </c>
      <c r="N40">
        <v>2</v>
      </c>
      <c r="O40">
        <v>3</v>
      </c>
      <c r="P40">
        <v>4</v>
      </c>
      <c r="Q40" s="177" t="s">
        <v>367</v>
      </c>
      <c r="R40" s="177" t="s">
        <v>368</v>
      </c>
      <c r="T40">
        <v>6</v>
      </c>
      <c r="U40">
        <v>7</v>
      </c>
    </row>
    <row r="41" spans="2:21" x14ac:dyDescent="0.2">
      <c r="B41" s="224" t="s">
        <v>211</v>
      </c>
      <c r="C41" s="53">
        <v>688</v>
      </c>
      <c r="D41" s="30">
        <v>688</v>
      </c>
      <c r="E41" s="3">
        <f>IF(Utslag!B46&lt;125,0,Utslag!B46-125)</f>
        <v>0</v>
      </c>
      <c r="F41" s="9">
        <f>C41*E41</f>
        <v>0</v>
      </c>
      <c r="G41" s="9"/>
      <c r="H41" s="75">
        <f>D41*E41</f>
        <v>0</v>
      </c>
      <c r="L41" s="177" t="s">
        <v>252</v>
      </c>
      <c r="M41" s="311">
        <v>70000</v>
      </c>
      <c r="N41" s="311">
        <v>70000</v>
      </c>
      <c r="O41" s="311">
        <v>70000</v>
      </c>
      <c r="P41" s="311">
        <v>70000</v>
      </c>
      <c r="Q41" s="311">
        <v>70000</v>
      </c>
      <c r="R41" s="311">
        <v>70000</v>
      </c>
      <c r="S41" s="311"/>
      <c r="T41" s="311">
        <v>70000</v>
      </c>
      <c r="U41" s="311">
        <v>70000</v>
      </c>
    </row>
    <row r="42" spans="2:21" x14ac:dyDescent="0.2">
      <c r="B42" s="223"/>
      <c r="C42" s="51"/>
      <c r="D42" s="52"/>
      <c r="E42" s="5"/>
      <c r="F42" s="17"/>
      <c r="G42" s="17"/>
      <c r="H42" s="88"/>
    </row>
    <row r="43" spans="2:21" x14ac:dyDescent="0.2">
      <c r="B43" s="78" t="s">
        <v>146</v>
      </c>
      <c r="C43" s="43"/>
      <c r="D43" s="49"/>
      <c r="E43" s="50"/>
      <c r="F43" s="50"/>
      <c r="G43" s="50"/>
      <c r="H43" s="87"/>
      <c r="N43" s="179">
        <f>HLOOKUP(Utslag!$B$6,$L$40:$U$41,2)</f>
        <v>70000</v>
      </c>
    </row>
    <row r="44" spans="2:21" x14ac:dyDescent="0.2">
      <c r="B44" s="223" t="s">
        <v>363</v>
      </c>
      <c r="C44" s="15">
        <v>985</v>
      </c>
      <c r="D44" s="52">
        <v>1885</v>
      </c>
      <c r="E44" s="5">
        <f>IF(Utslag!B48&lt;76,Utslag!B48,75)</f>
        <v>0</v>
      </c>
      <c r="F44" s="17">
        <f t="shared" ref="F44:F46" si="6">C44*E44</f>
        <v>0</v>
      </c>
      <c r="G44" s="17"/>
      <c r="H44" s="88">
        <f t="shared" ref="H44:H46" si="7">D44*E44</f>
        <v>0</v>
      </c>
    </row>
    <row r="45" spans="2:21" x14ac:dyDescent="0.2">
      <c r="B45" s="223" t="s">
        <v>364</v>
      </c>
      <c r="C45" s="15">
        <v>985</v>
      </c>
      <c r="D45" s="52">
        <v>1435</v>
      </c>
      <c r="E45" s="5">
        <f>IF(Utslag!B48&lt;76,0,IF(Utslag!B48&lt;151,Utslag!B48-75,75))</f>
        <v>0</v>
      </c>
      <c r="F45" s="17">
        <f t="shared" ref="F45" si="8">C45*E45</f>
        <v>0</v>
      </c>
      <c r="G45" s="17"/>
      <c r="H45" s="88">
        <f t="shared" ref="H45" si="9">D45*E45</f>
        <v>0</v>
      </c>
    </row>
    <row r="46" spans="2:21" x14ac:dyDescent="0.2">
      <c r="B46" s="223" t="s">
        <v>285</v>
      </c>
      <c r="C46" s="15">
        <v>209</v>
      </c>
      <c r="D46" s="52">
        <v>209</v>
      </c>
      <c r="E46" s="5">
        <f>IF(Utslag!B48&lt;151,0,Utslag!B48-150)</f>
        <v>0</v>
      </c>
      <c r="F46" s="17">
        <f t="shared" si="6"/>
        <v>0</v>
      </c>
      <c r="G46" s="17"/>
      <c r="H46" s="88">
        <f t="shared" si="7"/>
        <v>0</v>
      </c>
    </row>
    <row r="47" spans="2:21" x14ac:dyDescent="0.2">
      <c r="B47" s="78" t="s">
        <v>188</v>
      </c>
      <c r="C47" s="43"/>
      <c r="D47" s="49"/>
      <c r="E47" s="50"/>
      <c r="F47" s="50"/>
      <c r="G47" s="50"/>
      <c r="H47" s="87"/>
      <c r="J47" t="s">
        <v>189</v>
      </c>
      <c r="L47" s="177" t="s">
        <v>18</v>
      </c>
      <c r="M47">
        <v>1</v>
      </c>
      <c r="N47">
        <v>2</v>
      </c>
      <c r="O47">
        <v>3</v>
      </c>
      <c r="P47">
        <v>4</v>
      </c>
      <c r="Q47" s="177" t="s">
        <v>367</v>
      </c>
      <c r="R47" s="177" t="s">
        <v>368</v>
      </c>
      <c r="T47">
        <v>6</v>
      </c>
      <c r="U47">
        <v>7</v>
      </c>
    </row>
    <row r="48" spans="2:21" x14ac:dyDescent="0.2">
      <c r="B48" s="268" t="s">
        <v>229</v>
      </c>
      <c r="C48" s="15">
        <v>4290</v>
      </c>
      <c r="D48" s="54">
        <v>5065</v>
      </c>
      <c r="E48" s="5">
        <f>IF(Utslag!B44&lt;50,Utslag!B44,50)</f>
        <v>0</v>
      </c>
      <c r="F48" s="17">
        <f>C48*E48</f>
        <v>0</v>
      </c>
      <c r="G48" s="17"/>
      <c r="H48" s="88">
        <f>D48*E48</f>
        <v>0</v>
      </c>
      <c r="J48">
        <f>IF($J$28&gt;0,0,E48)</f>
        <v>0</v>
      </c>
      <c r="L48" s="177" t="s">
        <v>257</v>
      </c>
      <c r="M48">
        <v>84000</v>
      </c>
      <c r="N48">
        <v>84000</v>
      </c>
      <c r="O48">
        <v>84000</v>
      </c>
      <c r="P48">
        <v>84000</v>
      </c>
      <c r="Q48">
        <v>104000</v>
      </c>
      <c r="R48">
        <v>104000</v>
      </c>
      <c r="T48">
        <v>104000</v>
      </c>
      <c r="U48">
        <v>104000</v>
      </c>
    </row>
    <row r="49" spans="2:16" x14ac:dyDescent="0.2">
      <c r="B49" s="223" t="s">
        <v>228</v>
      </c>
      <c r="C49" s="15">
        <v>880</v>
      </c>
      <c r="D49" s="54">
        <v>1330</v>
      </c>
      <c r="E49" s="5">
        <f>IF(Utslag!B44&lt;50,0,IF(Utslag!B44&gt;50,Utslag!B44-50))</f>
        <v>0</v>
      </c>
      <c r="F49" s="17">
        <f>C49*E49</f>
        <v>0</v>
      </c>
      <c r="G49" s="17"/>
      <c r="H49" s="88">
        <f>D49*E49</f>
        <v>0</v>
      </c>
      <c r="J49">
        <f>IF($J$28&gt;0,0,E49)</f>
        <v>0</v>
      </c>
    </row>
    <row r="50" spans="2:16" x14ac:dyDescent="0.2">
      <c r="B50" s="76"/>
      <c r="C50" s="15"/>
      <c r="D50" s="54"/>
      <c r="E50" s="17"/>
      <c r="F50" s="17"/>
      <c r="G50" s="17"/>
      <c r="H50" s="88"/>
      <c r="N50" s="179">
        <f>HLOOKUP(Utslag!$B$6,$L$47:$U$48,2)</f>
        <v>84000</v>
      </c>
    </row>
    <row r="51" spans="2:16" x14ac:dyDescent="0.2">
      <c r="B51" s="78" t="s">
        <v>10</v>
      </c>
      <c r="C51" s="43"/>
      <c r="D51" s="49"/>
      <c r="E51" s="50"/>
      <c r="F51" s="50"/>
      <c r="G51" s="50"/>
      <c r="H51" s="87"/>
    </row>
    <row r="52" spans="2:16" x14ac:dyDescent="0.2">
      <c r="B52" s="91" t="s">
        <v>95</v>
      </c>
      <c r="C52" s="15">
        <v>498</v>
      </c>
      <c r="D52" s="52">
        <v>498</v>
      </c>
      <c r="E52" s="270"/>
      <c r="F52" s="17">
        <f>C52*E52</f>
        <v>0</v>
      </c>
      <c r="G52" s="17"/>
      <c r="H52" s="88">
        <f>D52*E52</f>
        <v>0</v>
      </c>
      <c r="L52" s="177" t="s">
        <v>369</v>
      </c>
      <c r="M52" s="177" t="s">
        <v>368</v>
      </c>
      <c r="N52">
        <v>6</v>
      </c>
    </row>
    <row r="53" spans="2:16" x14ac:dyDescent="0.2">
      <c r="B53" s="269" t="s">
        <v>230</v>
      </c>
      <c r="C53" s="15">
        <v>350</v>
      </c>
      <c r="D53" s="52">
        <v>350</v>
      </c>
      <c r="E53" s="180"/>
      <c r="F53" s="17"/>
      <c r="G53" s="17"/>
      <c r="H53" s="88"/>
      <c r="M53">
        <v>0.13</v>
      </c>
      <c r="N53">
        <v>0.5</v>
      </c>
      <c r="P53" s="343">
        <f>IF(Utslag!B7="-",0,IF(Utslag!B7="Nei",0.13,0))</f>
        <v>0</v>
      </c>
    </row>
    <row r="54" spans="2:16" x14ac:dyDescent="0.2">
      <c r="B54" s="91" t="s">
        <v>96</v>
      </c>
      <c r="C54" s="15">
        <v>776</v>
      </c>
      <c r="D54" s="52">
        <v>776</v>
      </c>
      <c r="E54" s="5"/>
      <c r="F54" s="17">
        <f>C54*E54</f>
        <v>0</v>
      </c>
      <c r="G54" s="17"/>
      <c r="H54" s="88">
        <f>D54*E54</f>
        <v>0</v>
      </c>
      <c r="M54">
        <f>IF(P53=0.13,Utslag!B23*0.13,0)+IF(Utslag!B6=6,Utslag!B23*Satser!N53,0)</f>
        <v>0</v>
      </c>
    </row>
    <row r="55" spans="2:16" x14ac:dyDescent="0.2">
      <c r="B55" s="73"/>
      <c r="C55" s="15"/>
      <c r="D55" s="52"/>
      <c r="E55" s="17"/>
      <c r="F55" s="17"/>
      <c r="G55" s="17"/>
      <c r="H55" s="88"/>
    </row>
    <row r="56" spans="2:16" x14ac:dyDescent="0.2">
      <c r="B56" s="78" t="s">
        <v>11</v>
      </c>
      <c r="C56" s="43"/>
      <c r="D56" s="49"/>
      <c r="E56" s="50"/>
      <c r="F56" s="50"/>
      <c r="G56" s="50"/>
      <c r="H56" s="87"/>
    </row>
    <row r="57" spans="2:16" x14ac:dyDescent="0.2">
      <c r="B57" s="91" t="s">
        <v>53</v>
      </c>
      <c r="C57" s="15">
        <v>14</v>
      </c>
      <c r="D57" s="52">
        <v>14</v>
      </c>
      <c r="E57" s="17"/>
      <c r="F57" s="17">
        <f>C57*E57</f>
        <v>0</v>
      </c>
      <c r="G57" s="17"/>
      <c r="H57" s="88">
        <f>D57*E57</f>
        <v>0</v>
      </c>
    </row>
    <row r="58" spans="2:16" ht="14.25" x14ac:dyDescent="0.2">
      <c r="B58" s="223" t="s">
        <v>231</v>
      </c>
      <c r="C58" s="15">
        <v>10</v>
      </c>
      <c r="D58" s="52">
        <v>10</v>
      </c>
      <c r="E58" s="270"/>
      <c r="F58" s="17">
        <f>C58*E58</f>
        <v>0</v>
      </c>
      <c r="G58" s="17"/>
      <c r="H58" s="88">
        <f>D58*E58</f>
        <v>0</v>
      </c>
      <c r="L58" s="293" t="s">
        <v>251</v>
      </c>
      <c r="N58" s="201">
        <f>Satser!O93</f>
        <v>0</v>
      </c>
    </row>
    <row r="59" spans="2:16" ht="14.25" x14ac:dyDescent="0.2">
      <c r="B59" s="91"/>
      <c r="C59" s="15"/>
      <c r="D59" s="52"/>
      <c r="E59" s="17"/>
      <c r="F59" s="17"/>
      <c r="G59" s="17"/>
      <c r="H59" s="88"/>
      <c r="L59" s="293" t="s">
        <v>316</v>
      </c>
      <c r="N59" s="201">
        <f>IF(Utslag!B6=6,(Utslag!B15+Utslag!B18)*Satser!P98,0)+IF(Utslag!B6=7,(Utslag!B15+Utslag!B18)*Satser!P98,0)</f>
        <v>0</v>
      </c>
    </row>
    <row r="60" spans="2:16" ht="14.25" x14ac:dyDescent="0.2">
      <c r="B60" s="78" t="s">
        <v>12</v>
      </c>
      <c r="C60" s="43"/>
      <c r="D60" s="49"/>
      <c r="E60" s="50"/>
      <c r="F60" s="50"/>
      <c r="G60" s="50"/>
      <c r="H60" s="87"/>
      <c r="L60" s="293" t="s">
        <v>245</v>
      </c>
      <c r="N60" s="201">
        <f>Satser!$O$38+IF(Utslag!$B$6&gt;5,Utslag!$B$25*0.1,0)</f>
        <v>0</v>
      </c>
    </row>
    <row r="61" spans="2:16" ht="14.25" x14ac:dyDescent="0.2">
      <c r="B61" s="73" t="s">
        <v>101</v>
      </c>
      <c r="C61" s="15">
        <v>11</v>
      </c>
      <c r="D61" s="52">
        <v>11</v>
      </c>
      <c r="E61" s="5">
        <f>IF(Utslag!B52&lt;1001,Utslag!B52,1000)</f>
        <v>0</v>
      </c>
      <c r="F61" s="17">
        <f>C61*E61</f>
        <v>0</v>
      </c>
      <c r="G61" s="17"/>
      <c r="H61" s="88">
        <f>D61*E61</f>
        <v>0</v>
      </c>
      <c r="L61" s="293" t="s">
        <v>351</v>
      </c>
      <c r="N61" s="201">
        <f>IF(Utslag!$B$6&gt;5,Utslag!$B$25*0.2,0)</f>
        <v>0</v>
      </c>
    </row>
    <row r="62" spans="2:16" ht="14.25" x14ac:dyDescent="0.2">
      <c r="B62" s="73" t="s">
        <v>102</v>
      </c>
      <c r="C62" s="15">
        <v>25</v>
      </c>
      <c r="D62" s="52">
        <v>25</v>
      </c>
      <c r="E62" s="5"/>
      <c r="F62" s="17"/>
      <c r="G62" s="17"/>
      <c r="H62" s="88"/>
      <c r="L62" s="342" t="s">
        <v>369</v>
      </c>
      <c r="N62">
        <f>M54</f>
        <v>0</v>
      </c>
    </row>
    <row r="63" spans="2:16" ht="14.25" x14ac:dyDescent="0.2">
      <c r="B63" s="266" t="s">
        <v>365</v>
      </c>
      <c r="C63" s="14">
        <v>7</v>
      </c>
      <c r="D63" s="30">
        <v>11</v>
      </c>
      <c r="E63" s="9">
        <f>IF(Utslag!B52&lt;7500,0,Utslag!B52-1000)</f>
        <v>0</v>
      </c>
      <c r="F63" s="17">
        <f>C63*E63</f>
        <v>0</v>
      </c>
      <c r="G63" s="17"/>
      <c r="H63" s="88">
        <f>D63*E63</f>
        <v>0</v>
      </c>
      <c r="L63" s="342" t="s">
        <v>371</v>
      </c>
      <c r="N63" s="274">
        <f>SUM(N58:N62)</f>
        <v>0</v>
      </c>
    </row>
    <row r="64" spans="2:16" x14ac:dyDescent="0.2">
      <c r="B64" s="316" t="s">
        <v>295</v>
      </c>
      <c r="C64" s="15"/>
      <c r="D64" s="52"/>
      <c r="E64" s="17"/>
      <c r="F64" s="17"/>
      <c r="G64" s="17"/>
      <c r="H64" s="88"/>
    </row>
    <row r="65" spans="2:12" x14ac:dyDescent="0.2">
      <c r="B65" s="315" t="s">
        <v>333</v>
      </c>
      <c r="C65" s="15">
        <v>7.0000000000000007E-2</v>
      </c>
      <c r="D65" s="52">
        <v>7.0000000000000007E-2</v>
      </c>
      <c r="E65" s="17"/>
      <c r="F65" s="17"/>
      <c r="G65" s="17"/>
      <c r="H65" s="88"/>
    </row>
    <row r="66" spans="2:12" x14ac:dyDescent="0.2">
      <c r="B66" s="315" t="s">
        <v>334</v>
      </c>
      <c r="C66" s="15">
        <v>0.15</v>
      </c>
      <c r="D66" s="52">
        <v>0.15</v>
      </c>
      <c r="E66" s="17"/>
      <c r="F66" s="17"/>
      <c r="G66" s="17"/>
      <c r="H66" s="88"/>
    </row>
    <row r="67" spans="2:12" x14ac:dyDescent="0.2">
      <c r="B67" s="315" t="s">
        <v>335</v>
      </c>
      <c r="C67" s="15">
        <v>7.0000000000000007E-2</v>
      </c>
      <c r="D67" s="52">
        <v>7.0000000000000007E-2</v>
      </c>
      <c r="E67" s="17"/>
      <c r="F67" s="17"/>
      <c r="G67" s="17"/>
      <c r="H67" s="88"/>
    </row>
    <row r="68" spans="2:12" x14ac:dyDescent="0.2">
      <c r="B68" s="103" t="s">
        <v>207</v>
      </c>
      <c r="C68" s="56">
        <v>515</v>
      </c>
      <c r="D68" s="57">
        <v>765</v>
      </c>
      <c r="E68" s="271">
        <f>Utslag!B56</f>
        <v>0</v>
      </c>
      <c r="F68" s="58">
        <f t="shared" ref="F68" si="10">C68*E68</f>
        <v>0</v>
      </c>
      <c r="G68" s="58"/>
      <c r="H68" s="104">
        <f t="shared" ref="H68" si="11">D68*E68</f>
        <v>0</v>
      </c>
    </row>
    <row r="69" spans="2:12" x14ac:dyDescent="0.2">
      <c r="B69" s="273" t="s">
        <v>238</v>
      </c>
      <c r="C69" s="15">
        <v>600</v>
      </c>
      <c r="D69" s="52">
        <v>800</v>
      </c>
      <c r="E69" s="165">
        <f>Utslag!B57</f>
        <v>0</v>
      </c>
      <c r="F69" s="58">
        <f t="shared" ref="F69" si="12">C69*E69</f>
        <v>0</v>
      </c>
      <c r="G69" s="58"/>
      <c r="H69" s="104">
        <f t="shared" ref="H69" si="13">D69*E69</f>
        <v>0</v>
      </c>
    </row>
    <row r="70" spans="2:12" x14ac:dyDescent="0.2">
      <c r="B70" s="272" t="s">
        <v>232</v>
      </c>
      <c r="C70" s="56"/>
      <c r="D70" s="57"/>
      <c r="E70" s="56"/>
      <c r="F70" s="58">
        <f t="shared" ref="F70:F75" si="14">C70*E70</f>
        <v>0</v>
      </c>
      <c r="G70" s="58"/>
      <c r="H70" s="104">
        <f t="shared" ref="H70:H75" si="15">D70*E70</f>
        <v>0</v>
      </c>
    </row>
    <row r="71" spans="2:12" x14ac:dyDescent="0.2">
      <c r="B71" s="223" t="s">
        <v>6</v>
      </c>
      <c r="C71" s="15">
        <v>3460</v>
      </c>
      <c r="D71" s="52">
        <v>3710</v>
      </c>
      <c r="E71" s="302">
        <f>Utslag!$B$63</f>
        <v>0</v>
      </c>
      <c r="F71" s="58">
        <f>C71*E71</f>
        <v>0</v>
      </c>
      <c r="G71" s="58"/>
      <c r="H71" s="104">
        <f>D71*E71</f>
        <v>0</v>
      </c>
      <c r="L71" s="177" t="s">
        <v>376</v>
      </c>
    </row>
    <row r="72" spans="2:12" x14ac:dyDescent="0.2">
      <c r="B72" s="223" t="s">
        <v>81</v>
      </c>
      <c r="C72" s="15">
        <v>310</v>
      </c>
      <c r="D72" s="52">
        <v>310</v>
      </c>
      <c r="E72" s="302"/>
      <c r="F72" s="58">
        <f t="shared" si="14"/>
        <v>0</v>
      </c>
      <c r="G72" s="58"/>
      <c r="H72" s="104">
        <f>D72*E72</f>
        <v>0</v>
      </c>
    </row>
    <row r="73" spans="2:12" x14ac:dyDescent="0.2">
      <c r="B73" s="223" t="s">
        <v>278</v>
      </c>
      <c r="C73" s="15">
        <v>310</v>
      </c>
      <c r="D73" s="52">
        <v>310</v>
      </c>
      <c r="E73" s="304"/>
      <c r="F73" s="58">
        <f t="shared" ref="F73" si="16">C73*E73</f>
        <v>0</v>
      </c>
      <c r="G73" s="58"/>
      <c r="H73" s="104">
        <f>D73*E73</f>
        <v>0</v>
      </c>
    </row>
    <row r="74" spans="2:12" x14ac:dyDescent="0.2">
      <c r="B74" s="223" t="s">
        <v>56</v>
      </c>
      <c r="C74" s="26">
        <v>610</v>
      </c>
      <c r="D74" s="222">
        <v>610</v>
      </c>
      <c r="E74" s="165"/>
      <c r="F74" s="58">
        <f t="shared" si="14"/>
        <v>0</v>
      </c>
      <c r="G74" s="58"/>
      <c r="H74" s="104">
        <f t="shared" si="15"/>
        <v>0</v>
      </c>
    </row>
    <row r="75" spans="2:12" x14ac:dyDescent="0.2">
      <c r="B75" s="224" t="s">
        <v>60</v>
      </c>
      <c r="C75" s="47">
        <v>1200</v>
      </c>
      <c r="D75" s="265">
        <v>1200</v>
      </c>
      <c r="E75" s="271"/>
      <c r="F75" s="58">
        <f t="shared" si="14"/>
        <v>0</v>
      </c>
      <c r="G75" s="58"/>
      <c r="H75" s="104">
        <f t="shared" si="15"/>
        <v>0</v>
      </c>
    </row>
    <row r="76" spans="2:12" x14ac:dyDescent="0.2">
      <c r="B76" s="273"/>
      <c r="C76" s="17"/>
      <c r="D76" s="17"/>
      <c r="E76" s="17"/>
      <c r="F76" s="59">
        <f>SUM(F28:F75)</f>
        <v>0</v>
      </c>
      <c r="G76" s="59"/>
      <c r="H76" s="105">
        <f>SUM(H28:H75)</f>
        <v>0</v>
      </c>
    </row>
    <row r="77" spans="2:12" x14ac:dyDescent="0.2">
      <c r="B77" s="74" t="s">
        <v>32</v>
      </c>
      <c r="C77" s="106">
        <v>530000</v>
      </c>
      <c r="D77" s="106">
        <v>10000000</v>
      </c>
      <c r="E77" s="9"/>
      <c r="F77" s="9" t="s">
        <v>33</v>
      </c>
      <c r="G77" s="9"/>
      <c r="H77" s="75" t="s">
        <v>34</v>
      </c>
      <c r="I77" s="281" t="s">
        <v>32</v>
      </c>
      <c r="J77" s="282">
        <v>280000</v>
      </c>
      <c r="K77" s="283">
        <v>560000</v>
      </c>
      <c r="L77" s="284"/>
    </row>
    <row r="78" spans="2:12" x14ac:dyDescent="0.2">
      <c r="B78" s="275" t="s">
        <v>191</v>
      </c>
      <c r="C78" s="276"/>
      <c r="D78" s="276"/>
      <c r="E78" s="276"/>
      <c r="F78" s="276">
        <f>IF(F76&gt;C77,C77,F76)</f>
        <v>0</v>
      </c>
      <c r="G78" s="276"/>
      <c r="H78" s="276">
        <f>IF(H76&gt;D77,D77,H76)</f>
        <v>0</v>
      </c>
      <c r="I78" s="281" t="s">
        <v>58</v>
      </c>
      <c r="J78" s="284"/>
      <c r="K78" s="284"/>
      <c r="L78" s="284"/>
    </row>
    <row r="79" spans="2:12" x14ac:dyDescent="0.2">
      <c r="B79" s="33"/>
      <c r="C79" s="277"/>
      <c r="D79" s="277"/>
      <c r="E79" s="277"/>
      <c r="F79" s="276"/>
      <c r="G79" s="276"/>
      <c r="H79" s="276"/>
      <c r="I79" s="285"/>
      <c r="J79" s="284"/>
      <c r="K79" s="284"/>
      <c r="L79" s="284"/>
    </row>
    <row r="80" spans="2:12" x14ac:dyDescent="0.2">
      <c r="B80" s="277">
        <v>1</v>
      </c>
      <c r="C80" s="278">
        <f>IF(AND(F76&lt;$C$77,H76&lt;D77),H76-F76,0)</f>
        <v>0</v>
      </c>
      <c r="D80" s="279" t="s">
        <v>233</v>
      </c>
      <c r="E80" s="277"/>
      <c r="F80" s="277"/>
      <c r="G80" s="277"/>
      <c r="H80" s="277"/>
      <c r="I80" s="284">
        <v>1</v>
      </c>
      <c r="J80" s="286">
        <f>IF(AND(F76&lt;$J$77,H76&lt;$K$77),0,0)</f>
        <v>0</v>
      </c>
      <c r="K80" s="284"/>
      <c r="L80" s="284"/>
    </row>
    <row r="81" spans="2:25" x14ac:dyDescent="0.2">
      <c r="B81" s="277">
        <v>2</v>
      </c>
      <c r="C81" s="277">
        <f>IF(AND(F76&lt;C77,H76&gt;D77),(D77-F76),0)</f>
        <v>0</v>
      </c>
      <c r="D81" s="277" t="s">
        <v>35</v>
      </c>
      <c r="E81" s="277"/>
      <c r="F81" s="277"/>
      <c r="G81" s="277"/>
      <c r="H81" s="277"/>
      <c r="I81" s="284">
        <v>2</v>
      </c>
      <c r="J81" s="284">
        <f>IF(AND(F76&lt;J77,H76&gt;K77),(K77-F76),0)</f>
        <v>0</v>
      </c>
      <c r="K81" s="284" t="s">
        <v>35</v>
      </c>
      <c r="L81" s="284"/>
    </row>
    <row r="82" spans="2:25" x14ac:dyDescent="0.2">
      <c r="B82" s="277">
        <v>3</v>
      </c>
      <c r="C82" s="277">
        <f>IF(AND(F76&gt;C77,H76&gt;D77),(D77-C77),0)</f>
        <v>0</v>
      </c>
      <c r="D82" s="277" t="s">
        <v>36</v>
      </c>
      <c r="E82" s="277"/>
      <c r="F82" s="277"/>
      <c r="G82" s="277"/>
      <c r="H82" s="277"/>
      <c r="I82" s="284">
        <v>3</v>
      </c>
      <c r="J82" s="287">
        <f>IF(AND(F76&gt;J77,H76&gt;K77),(K77-J77),0)</f>
        <v>0</v>
      </c>
      <c r="K82" s="284" t="s">
        <v>36</v>
      </c>
      <c r="L82" s="284"/>
    </row>
    <row r="83" spans="2:25" x14ac:dyDescent="0.2">
      <c r="B83" s="280">
        <v>4</v>
      </c>
      <c r="C83" s="280">
        <f>IF(AND(F76&gt;C77,H76&lt;D77),(H76-C77),0)</f>
        <v>0</v>
      </c>
      <c r="D83" s="277" t="s">
        <v>37</v>
      </c>
      <c r="E83" s="277"/>
      <c r="F83" s="277"/>
      <c r="G83" s="277"/>
      <c r="H83" s="277"/>
      <c r="I83" s="285">
        <v>4</v>
      </c>
      <c r="J83" s="285">
        <f>IF(AND(F76&gt;J77,H76&lt;K77),(H76-J77),0)</f>
        <v>0</v>
      </c>
      <c r="K83" s="284" t="s">
        <v>37</v>
      </c>
      <c r="L83" s="284"/>
    </row>
    <row r="84" spans="2:25" x14ac:dyDescent="0.2">
      <c r="C84" s="2">
        <f>SUM(C80:C83)</f>
        <v>0</v>
      </c>
      <c r="I84" s="284"/>
      <c r="J84" s="288">
        <f>SUM(J80:J83)</f>
        <v>0</v>
      </c>
      <c r="K84" s="284"/>
      <c r="L84" s="284"/>
    </row>
    <row r="85" spans="2:25" x14ac:dyDescent="0.2">
      <c r="C85" s="2"/>
      <c r="J85" s="20"/>
    </row>
    <row r="86" spans="2:25" x14ac:dyDescent="0.2">
      <c r="B86" s="177" t="s">
        <v>213</v>
      </c>
      <c r="C86" s="2">
        <f>'Ark18'!C15*-210</f>
        <v>0</v>
      </c>
      <c r="D86">
        <f>IF(('Ark18'!C14+'Ark18'!C15)&lt;101,800*'Ark18'!C15,250*'Ark18'!C15)</f>
        <v>0</v>
      </c>
      <c r="E86">
        <f>D86+C86</f>
        <v>0</v>
      </c>
      <c r="J86" s="20"/>
    </row>
    <row r="87" spans="2:25" x14ac:dyDescent="0.2">
      <c r="B87" s="16"/>
      <c r="C87" s="17"/>
      <c r="D87" s="17"/>
      <c r="E87" s="17"/>
      <c r="F87" s="17"/>
      <c r="G87" s="17"/>
      <c r="H87" s="17"/>
      <c r="I87" s="17"/>
      <c r="J87" s="17"/>
    </row>
    <row r="88" spans="2:25" ht="14.25" x14ac:dyDescent="0.2">
      <c r="B88" s="29" t="s">
        <v>126</v>
      </c>
      <c r="C88" s="17"/>
      <c r="D88" s="166">
        <f>H78-F78</f>
        <v>0</v>
      </c>
      <c r="E88" s="17"/>
      <c r="F88" s="17"/>
      <c r="G88" s="17"/>
      <c r="H88" s="17"/>
      <c r="I88" s="17"/>
      <c r="J88" s="17"/>
      <c r="L88" s="177" t="s">
        <v>329</v>
      </c>
    </row>
    <row r="89" spans="2:25" x14ac:dyDescent="0.2">
      <c r="L89" s="177" t="s">
        <v>319</v>
      </c>
    </row>
    <row r="90" spans="2:25" x14ac:dyDescent="0.2">
      <c r="B90" s="78" t="s">
        <v>43</v>
      </c>
      <c r="C90" s="50"/>
      <c r="D90" s="50"/>
      <c r="E90" s="50"/>
      <c r="F90" s="41" t="s">
        <v>130</v>
      </c>
      <c r="G90" s="41"/>
      <c r="H90" s="87"/>
      <c r="L90" s="177" t="s">
        <v>18</v>
      </c>
      <c r="M90" s="314" t="s">
        <v>318</v>
      </c>
      <c r="N90" s="314" t="s">
        <v>318</v>
      </c>
      <c r="O90" s="314" t="s">
        <v>320</v>
      </c>
      <c r="P90" s="314" t="s">
        <v>321</v>
      </c>
      <c r="Q90" s="314"/>
      <c r="R90" s="314"/>
      <c r="S90" s="314" t="s">
        <v>322</v>
      </c>
      <c r="T90" s="314" t="s">
        <v>323</v>
      </c>
      <c r="U90" s="314" t="s">
        <v>324</v>
      </c>
      <c r="V90" s="314" t="s">
        <v>325</v>
      </c>
      <c r="W90" s="314" t="s">
        <v>326</v>
      </c>
      <c r="X90" s="314" t="s">
        <v>327</v>
      </c>
      <c r="Y90" s="314" t="s">
        <v>328</v>
      </c>
    </row>
    <row r="91" spans="2:25" x14ac:dyDescent="0.2">
      <c r="B91" s="69" t="s">
        <v>4</v>
      </c>
      <c r="C91" s="59" t="s">
        <v>27</v>
      </c>
      <c r="D91" s="59" t="s">
        <v>234</v>
      </c>
      <c r="E91" s="6" t="s">
        <v>29</v>
      </c>
      <c r="F91" s="6" t="s">
        <v>30</v>
      </c>
      <c r="G91" s="6"/>
      <c r="H91" s="79" t="s">
        <v>31</v>
      </c>
      <c r="L91" s="177" t="s">
        <v>27</v>
      </c>
      <c r="M91" s="169">
        <v>0</v>
      </c>
      <c r="N91" s="169">
        <v>0</v>
      </c>
      <c r="O91" s="169">
        <v>0</v>
      </c>
      <c r="P91">
        <v>0.03</v>
      </c>
      <c r="S91">
        <v>0.01</v>
      </c>
      <c r="T91">
        <v>0.03</v>
      </c>
      <c r="U91">
        <v>0.03</v>
      </c>
      <c r="V91">
        <v>0.03</v>
      </c>
      <c r="W91">
        <v>0.06</v>
      </c>
      <c r="X91">
        <v>0.06</v>
      </c>
      <c r="Y91">
        <v>0.06</v>
      </c>
    </row>
    <row r="92" spans="2:25" x14ac:dyDescent="0.2">
      <c r="B92" s="242" t="s">
        <v>222</v>
      </c>
      <c r="C92" s="155">
        <v>4204</v>
      </c>
      <c r="D92" s="155">
        <v>4625</v>
      </c>
      <c r="E92" s="241">
        <f>Utslag!B43</f>
        <v>0</v>
      </c>
      <c r="F92" s="49">
        <f>C92*E92</f>
        <v>0</v>
      </c>
      <c r="G92" s="49"/>
      <c r="H92" s="107">
        <f>D92*E92</f>
        <v>0</v>
      </c>
    </row>
    <row r="93" spans="2:25" x14ac:dyDescent="0.2">
      <c r="B93" s="73"/>
      <c r="C93" s="51"/>
      <c r="D93" s="51"/>
      <c r="E93" s="17"/>
      <c r="F93" s="52"/>
      <c r="G93" s="52"/>
      <c r="H93" s="108"/>
      <c r="L93" s="177" t="s">
        <v>330</v>
      </c>
      <c r="M93" s="274">
        <f>Utslag!B13+Utslag!B14</f>
        <v>0</v>
      </c>
      <c r="N93" s="44">
        <f>HLOOKUP(Utslag!B8,melk,2)</f>
        <v>0</v>
      </c>
      <c r="O93">
        <f>M93*N93</f>
        <v>0</v>
      </c>
    </row>
    <row r="94" spans="2:25" x14ac:dyDescent="0.2">
      <c r="B94" s="69" t="s">
        <v>6</v>
      </c>
      <c r="C94" s="51"/>
      <c r="D94" s="51"/>
      <c r="E94" s="17"/>
      <c r="F94" s="52"/>
      <c r="G94" s="52"/>
      <c r="H94" s="108"/>
    </row>
    <row r="95" spans="2:25" x14ac:dyDescent="0.2">
      <c r="B95" s="73" t="s">
        <v>110</v>
      </c>
      <c r="C95" s="155">
        <v>701</v>
      </c>
      <c r="D95" s="155">
        <v>771</v>
      </c>
      <c r="E95" s="165">
        <f>Utslag!B45</f>
        <v>0</v>
      </c>
      <c r="F95" s="52">
        <f>C95*E95</f>
        <v>0</v>
      </c>
      <c r="G95" s="52"/>
      <c r="H95" s="108">
        <f>D95*E95</f>
        <v>0</v>
      </c>
    </row>
    <row r="96" spans="2:25" x14ac:dyDescent="0.2">
      <c r="B96" s="73"/>
      <c r="C96" s="51"/>
      <c r="D96" s="51"/>
      <c r="E96" s="17"/>
      <c r="F96" s="52"/>
      <c r="G96" s="52"/>
      <c r="H96" s="108"/>
    </row>
    <row r="97" spans="2:19" x14ac:dyDescent="0.2">
      <c r="B97" s="69" t="s">
        <v>136</v>
      </c>
      <c r="C97" s="51"/>
      <c r="D97" s="51"/>
      <c r="E97" s="17"/>
      <c r="F97" s="52"/>
      <c r="G97" s="52"/>
      <c r="H97" s="108"/>
      <c r="L97" s="177" t="s">
        <v>316</v>
      </c>
      <c r="M97">
        <v>1</v>
      </c>
      <c r="N97">
        <v>2</v>
      </c>
      <c r="O97">
        <v>3</v>
      </c>
      <c r="P97">
        <v>4</v>
      </c>
      <c r="S97">
        <v>5</v>
      </c>
    </row>
    <row r="98" spans="2:19" x14ac:dyDescent="0.2">
      <c r="B98" s="223" t="s">
        <v>110</v>
      </c>
      <c r="C98" s="155">
        <v>969</v>
      </c>
      <c r="D98" s="155">
        <v>1066</v>
      </c>
      <c r="E98" s="165">
        <f>Utslag!B46</f>
        <v>0</v>
      </c>
      <c r="F98" s="52">
        <f>C98*E98</f>
        <v>0</v>
      </c>
      <c r="G98" s="52"/>
      <c r="H98" s="108">
        <f>D98*E98</f>
        <v>0</v>
      </c>
      <c r="L98" s="177" t="s">
        <v>331</v>
      </c>
      <c r="M98">
        <v>0</v>
      </c>
      <c r="N98">
        <v>0</v>
      </c>
      <c r="O98">
        <v>0</v>
      </c>
      <c r="P98">
        <v>1</v>
      </c>
      <c r="S98">
        <v>1</v>
      </c>
    </row>
    <row r="99" spans="2:19" x14ac:dyDescent="0.2">
      <c r="B99" s="73"/>
      <c r="C99" s="51"/>
      <c r="D99" s="51"/>
      <c r="E99" s="17"/>
      <c r="F99" s="52"/>
      <c r="G99" s="52"/>
      <c r="H99" s="108"/>
      <c r="L99" s="177" t="s">
        <v>332</v>
      </c>
      <c r="P99">
        <v>0.5</v>
      </c>
      <c r="S99">
        <v>0.5</v>
      </c>
    </row>
    <row r="100" spans="2:19" x14ac:dyDescent="0.2">
      <c r="B100" s="69" t="s">
        <v>8</v>
      </c>
      <c r="C100" s="51"/>
      <c r="D100" s="51"/>
      <c r="E100" s="17"/>
      <c r="F100" s="52"/>
      <c r="G100" s="52"/>
      <c r="H100" s="108"/>
    </row>
    <row r="101" spans="2:19" x14ac:dyDescent="0.2">
      <c r="B101" s="76" t="s">
        <v>110</v>
      </c>
      <c r="C101" s="155">
        <v>482</v>
      </c>
      <c r="D101" s="155">
        <v>530</v>
      </c>
      <c r="E101" s="165">
        <f>Utslag!B48</f>
        <v>0</v>
      </c>
      <c r="F101" s="52">
        <f>C101*E101</f>
        <v>0</v>
      </c>
      <c r="G101" s="52"/>
      <c r="H101" s="108">
        <f>D101*E101</f>
        <v>0</v>
      </c>
    </row>
    <row r="102" spans="2:19" x14ac:dyDescent="0.2">
      <c r="B102" s="69" t="s">
        <v>16</v>
      </c>
      <c r="C102" s="51"/>
      <c r="D102" s="51"/>
      <c r="E102" s="17"/>
      <c r="F102" s="52"/>
      <c r="G102" s="52"/>
      <c r="H102" s="108"/>
    </row>
    <row r="103" spans="2:19" x14ac:dyDescent="0.2">
      <c r="B103" s="91" t="s">
        <v>110</v>
      </c>
      <c r="C103" s="155">
        <v>1161</v>
      </c>
      <c r="D103" s="155">
        <v>1277</v>
      </c>
      <c r="E103" s="165">
        <f>Utslag!B44</f>
        <v>0</v>
      </c>
      <c r="F103" s="52">
        <f>C103*E103</f>
        <v>0</v>
      </c>
      <c r="G103" s="52"/>
      <c r="H103" s="108">
        <f>D103*E103</f>
        <v>0</v>
      </c>
      <c r="L103" s="177" t="s">
        <v>339</v>
      </c>
    </row>
    <row r="104" spans="2:19" x14ac:dyDescent="0.2">
      <c r="B104" s="73"/>
      <c r="C104" s="51"/>
      <c r="D104" s="51"/>
      <c r="E104" s="17"/>
      <c r="F104" s="52"/>
      <c r="G104" s="52"/>
      <c r="H104" s="108"/>
      <c r="L104" s="177" t="s">
        <v>341</v>
      </c>
      <c r="M104" s="274">
        <f>Utslag!B70</f>
        <v>0</v>
      </c>
    </row>
    <row r="105" spans="2:19" x14ac:dyDescent="0.2">
      <c r="B105" s="69" t="s">
        <v>10</v>
      </c>
      <c r="C105" s="51"/>
      <c r="D105" s="51"/>
      <c r="E105" s="17"/>
      <c r="F105" s="52"/>
      <c r="G105" s="52"/>
      <c r="H105" s="108"/>
      <c r="L105" s="177" t="s">
        <v>346</v>
      </c>
      <c r="M105" s="274">
        <f>Utslag!B71</f>
        <v>0</v>
      </c>
    </row>
    <row r="106" spans="2:19" x14ac:dyDescent="0.2">
      <c r="B106" s="91" t="s">
        <v>110</v>
      </c>
      <c r="C106" s="155">
        <v>1386</v>
      </c>
      <c r="D106" s="155">
        <v>1524</v>
      </c>
      <c r="E106" s="165">
        <f>Utslag!B50</f>
        <v>0</v>
      </c>
      <c r="F106" s="52">
        <f>C106*E106</f>
        <v>0</v>
      </c>
      <c r="G106" s="52"/>
      <c r="H106" s="108">
        <f>D106*E106</f>
        <v>0</v>
      </c>
      <c r="L106" s="177" t="s">
        <v>347</v>
      </c>
      <c r="M106" s="337">
        <f>Utslag!B72</f>
        <v>0</v>
      </c>
      <c r="N106" t="e">
        <f>(M110/(M105+M104))</f>
        <v>#DIV/0!</v>
      </c>
    </row>
    <row r="107" spans="2:19" x14ac:dyDescent="0.2">
      <c r="B107" s="73"/>
      <c r="C107" s="51"/>
      <c r="D107" s="51"/>
      <c r="E107" s="17"/>
      <c r="F107" s="52"/>
      <c r="G107" s="52"/>
      <c r="H107" s="108"/>
      <c r="L107" s="177" t="s">
        <v>348</v>
      </c>
      <c r="M107" s="337">
        <f>Utslag!B73</f>
        <v>0</v>
      </c>
      <c r="N107">
        <v>6.79</v>
      </c>
    </row>
    <row r="108" spans="2:19" x14ac:dyDescent="0.2">
      <c r="B108" s="69" t="s">
        <v>11</v>
      </c>
      <c r="C108" s="51"/>
      <c r="D108" s="51"/>
      <c r="E108" s="17"/>
      <c r="F108" s="52"/>
      <c r="G108" s="52"/>
      <c r="H108" s="108"/>
      <c r="L108" s="177" t="s">
        <v>349</v>
      </c>
      <c r="M108">
        <v>9.85</v>
      </c>
      <c r="N108" s="170" t="e">
        <f>N106/N107</f>
        <v>#DIV/0!</v>
      </c>
    </row>
    <row r="109" spans="2:19" x14ac:dyDescent="0.2">
      <c r="B109" s="91" t="s">
        <v>110</v>
      </c>
      <c r="C109" s="155">
        <v>47</v>
      </c>
      <c r="D109" s="155">
        <v>52</v>
      </c>
      <c r="E109" s="165">
        <f>Utslag!B51</f>
        <v>0</v>
      </c>
      <c r="F109" s="52">
        <f>C109*E109</f>
        <v>0</v>
      </c>
      <c r="G109" s="52"/>
      <c r="H109" s="108">
        <f>D109*E109</f>
        <v>0</v>
      </c>
      <c r="L109" s="177" t="s">
        <v>350</v>
      </c>
      <c r="M109">
        <v>11.1</v>
      </c>
    </row>
    <row r="110" spans="2:19" x14ac:dyDescent="0.2">
      <c r="B110" s="73"/>
      <c r="C110" s="51"/>
      <c r="D110" s="51"/>
      <c r="E110" s="17"/>
      <c r="F110" s="52"/>
      <c r="G110" s="52"/>
      <c r="H110" s="108"/>
      <c r="M110">
        <f>(M108-M106)*M104+(M109-M107)*M105</f>
        <v>0</v>
      </c>
    </row>
    <row r="111" spans="2:19" x14ac:dyDescent="0.2">
      <c r="B111" s="69" t="s">
        <v>12</v>
      </c>
      <c r="C111" s="51"/>
      <c r="D111" s="51"/>
      <c r="E111" s="17"/>
      <c r="F111" s="52"/>
      <c r="G111" s="52"/>
      <c r="H111" s="108"/>
    </row>
    <row r="112" spans="2:19" x14ac:dyDescent="0.2">
      <c r="B112" s="73" t="s">
        <v>110</v>
      </c>
      <c r="C112" s="155">
        <v>12.2</v>
      </c>
      <c r="D112" s="155">
        <v>13.4</v>
      </c>
      <c r="E112" s="165">
        <f>Utslag!B52</f>
        <v>0</v>
      </c>
      <c r="F112" s="52">
        <f>C112*E112</f>
        <v>0</v>
      </c>
      <c r="G112" s="52"/>
      <c r="H112" s="108">
        <f>D112*E112</f>
        <v>0</v>
      </c>
    </row>
    <row r="113" spans="2:13" x14ac:dyDescent="0.2">
      <c r="B113" s="73"/>
      <c r="C113" s="51"/>
      <c r="D113" s="51"/>
      <c r="E113" s="17"/>
      <c r="F113" s="52"/>
      <c r="G113" s="52"/>
      <c r="H113" s="108"/>
      <c r="M113" s="177" t="s">
        <v>318</v>
      </c>
    </row>
    <row r="114" spans="2:13" x14ac:dyDescent="0.2">
      <c r="B114" s="223" t="s">
        <v>207</v>
      </c>
      <c r="C114" s="51"/>
      <c r="D114" s="51"/>
      <c r="E114" s="17"/>
      <c r="F114" s="52"/>
      <c r="G114" s="52"/>
      <c r="H114" s="108"/>
      <c r="M114" s="177" t="s">
        <v>320</v>
      </c>
    </row>
    <row r="115" spans="2:13" x14ac:dyDescent="0.2">
      <c r="B115" s="223" t="s">
        <v>110</v>
      </c>
      <c r="C115" s="51">
        <v>471</v>
      </c>
      <c r="D115" s="51">
        <v>519</v>
      </c>
      <c r="E115" s="165">
        <f>Utslag!B56</f>
        <v>0</v>
      </c>
      <c r="F115" s="52">
        <f>C115*E115</f>
        <v>0</v>
      </c>
      <c r="G115" s="52"/>
      <c r="H115" s="108">
        <f>D115*E115</f>
        <v>0</v>
      </c>
      <c r="M115" s="177" t="s">
        <v>321</v>
      </c>
    </row>
    <row r="116" spans="2:13" x14ac:dyDescent="0.2">
      <c r="B116" s="73"/>
      <c r="C116" s="51"/>
      <c r="D116" s="51"/>
      <c r="E116" s="17"/>
      <c r="F116" s="52"/>
      <c r="G116" s="52"/>
      <c r="H116" s="108"/>
      <c r="M116" s="177" t="s">
        <v>322</v>
      </c>
    </row>
    <row r="117" spans="2:13" x14ac:dyDescent="0.2">
      <c r="B117" s="69" t="s">
        <v>111</v>
      </c>
      <c r="C117" s="51"/>
      <c r="D117" s="51"/>
      <c r="E117" s="17"/>
      <c r="F117" s="52"/>
      <c r="G117" s="52"/>
      <c r="H117" s="108"/>
      <c r="M117" s="177" t="s">
        <v>323</v>
      </c>
    </row>
    <row r="118" spans="2:13" ht="11.25" customHeight="1" x14ac:dyDescent="0.2">
      <c r="B118" s="73" t="s">
        <v>110</v>
      </c>
      <c r="C118" s="155">
        <v>1386</v>
      </c>
      <c r="D118" s="155">
        <v>1524</v>
      </c>
      <c r="E118" s="165"/>
      <c r="F118" s="52"/>
      <c r="G118" s="52"/>
      <c r="H118" s="108"/>
      <c r="M118" s="177" t="s">
        <v>324</v>
      </c>
    </row>
    <row r="119" spans="2:13" x14ac:dyDescent="0.2">
      <c r="B119" s="73"/>
      <c r="C119" s="51"/>
      <c r="D119" s="51"/>
      <c r="E119" s="17"/>
      <c r="F119" s="52"/>
      <c r="G119" s="52"/>
      <c r="H119" s="108"/>
      <c r="M119" s="177" t="s">
        <v>325</v>
      </c>
    </row>
    <row r="120" spans="2:13" x14ac:dyDescent="0.2">
      <c r="B120" s="69" t="s">
        <v>112</v>
      </c>
      <c r="C120" s="51"/>
      <c r="D120" s="51"/>
      <c r="E120" s="17"/>
      <c r="F120" s="52"/>
      <c r="G120" s="52"/>
      <c r="H120" s="108"/>
      <c r="M120" s="177" t="s">
        <v>326</v>
      </c>
    </row>
    <row r="121" spans="2:13" x14ac:dyDescent="0.2">
      <c r="B121" s="73" t="s">
        <v>110</v>
      </c>
      <c r="C121" s="155">
        <v>345</v>
      </c>
      <c r="D121" s="155">
        <v>380</v>
      </c>
      <c r="E121" s="165"/>
      <c r="F121" s="52"/>
      <c r="G121" s="52"/>
      <c r="H121" s="108"/>
      <c r="M121" s="177" t="s">
        <v>327</v>
      </c>
    </row>
    <row r="122" spans="2:13" x14ac:dyDescent="0.2">
      <c r="B122" s="73"/>
      <c r="C122" s="51"/>
      <c r="D122" s="51"/>
      <c r="E122" s="17"/>
      <c r="F122" s="52"/>
      <c r="G122" s="52"/>
      <c r="H122" s="108"/>
      <c r="M122" s="177" t="s">
        <v>328</v>
      </c>
    </row>
    <row r="123" spans="2:13" x14ac:dyDescent="0.2">
      <c r="B123" s="69" t="s">
        <v>113</v>
      </c>
      <c r="C123" s="51"/>
      <c r="D123" s="51"/>
      <c r="E123" s="17"/>
      <c r="F123" s="52"/>
      <c r="G123" s="52"/>
      <c r="H123" s="108"/>
    </row>
    <row r="124" spans="2:13" x14ac:dyDescent="0.2">
      <c r="B124" s="73" t="s">
        <v>110</v>
      </c>
      <c r="C124" s="67">
        <v>4.24</v>
      </c>
      <c r="D124" s="67">
        <v>4.66</v>
      </c>
      <c r="E124" s="165"/>
      <c r="F124" s="52"/>
      <c r="G124" s="52"/>
      <c r="H124" s="108"/>
    </row>
    <row r="125" spans="2:13" x14ac:dyDescent="0.2">
      <c r="B125" s="73"/>
      <c r="C125" s="51"/>
      <c r="D125" s="51"/>
      <c r="E125" s="17"/>
      <c r="F125" s="52"/>
      <c r="G125" s="52"/>
      <c r="H125" s="108"/>
    </row>
    <row r="126" spans="2:13" x14ac:dyDescent="0.2">
      <c r="B126" s="69" t="s">
        <v>114</v>
      </c>
      <c r="C126" s="51"/>
      <c r="D126" s="51"/>
      <c r="E126" s="17"/>
      <c r="F126" s="52"/>
      <c r="G126" s="52"/>
      <c r="H126" s="108"/>
    </row>
    <row r="127" spans="2:13" x14ac:dyDescent="0.2">
      <c r="B127" s="73" t="s">
        <v>110</v>
      </c>
      <c r="C127" s="155">
        <v>4.24</v>
      </c>
      <c r="D127" s="155">
        <v>4.66</v>
      </c>
      <c r="E127" s="165"/>
      <c r="F127" s="52"/>
      <c r="G127" s="52"/>
      <c r="H127" s="108"/>
    </row>
    <row r="128" spans="2:13" x14ac:dyDescent="0.2">
      <c r="B128" s="73"/>
      <c r="C128" s="51"/>
      <c r="D128" s="51"/>
      <c r="E128" s="17"/>
      <c r="F128" s="52"/>
      <c r="G128" s="52"/>
      <c r="H128" s="108"/>
    </row>
    <row r="129" spans="2:10" x14ac:dyDescent="0.2">
      <c r="B129" s="69" t="s">
        <v>115</v>
      </c>
      <c r="C129" s="51"/>
      <c r="D129" s="51"/>
      <c r="E129" s="17"/>
      <c r="F129" s="52"/>
      <c r="G129" s="52"/>
      <c r="H129" s="108"/>
    </row>
    <row r="130" spans="2:10" x14ac:dyDescent="0.2">
      <c r="B130" s="73" t="s">
        <v>110</v>
      </c>
      <c r="C130" s="67">
        <v>0.51</v>
      </c>
      <c r="D130" s="67">
        <v>0.56000000000000005</v>
      </c>
      <c r="E130" s="165">
        <f>Utslag!B55</f>
        <v>0</v>
      </c>
      <c r="F130" s="52">
        <f>C130*E130</f>
        <v>0</v>
      </c>
      <c r="G130" s="52"/>
      <c r="H130" s="108">
        <f>D130*E130</f>
        <v>0</v>
      </c>
    </row>
    <row r="131" spans="2:10" x14ac:dyDescent="0.2">
      <c r="B131" s="73"/>
      <c r="C131" s="51"/>
      <c r="D131" s="51"/>
      <c r="E131" s="17"/>
      <c r="F131" s="52"/>
      <c r="G131" s="52"/>
      <c r="H131" s="108"/>
    </row>
    <row r="132" spans="2:10" x14ac:dyDescent="0.2">
      <c r="B132" s="69" t="s">
        <v>116</v>
      </c>
      <c r="C132" s="51"/>
      <c r="D132" s="51"/>
      <c r="F132" s="52"/>
      <c r="G132" s="52"/>
      <c r="H132" s="108"/>
    </row>
    <row r="133" spans="2:10" x14ac:dyDescent="0.2">
      <c r="B133" s="73" t="s">
        <v>110</v>
      </c>
      <c r="C133" s="155">
        <v>381</v>
      </c>
      <c r="D133" s="155">
        <v>419</v>
      </c>
      <c r="E133" s="165"/>
      <c r="F133" s="52"/>
      <c r="G133" s="52"/>
      <c r="H133" s="108"/>
    </row>
    <row r="134" spans="2:10" x14ac:dyDescent="0.2">
      <c r="B134" s="73"/>
      <c r="C134" s="51"/>
      <c r="D134" s="51"/>
      <c r="E134" s="17"/>
      <c r="F134" s="52"/>
      <c r="G134" s="52"/>
      <c r="H134" s="108"/>
    </row>
    <row r="135" spans="2:10" x14ac:dyDescent="0.2">
      <c r="B135" s="69" t="s">
        <v>117</v>
      </c>
      <c r="C135" s="51"/>
      <c r="D135" s="51"/>
      <c r="E135" s="17"/>
      <c r="F135" s="52"/>
      <c r="G135" s="52"/>
      <c r="H135" s="108"/>
    </row>
    <row r="136" spans="2:10" x14ac:dyDescent="0.2">
      <c r="B136" s="74" t="s">
        <v>110</v>
      </c>
      <c r="C136" s="155">
        <v>112</v>
      </c>
      <c r="D136" s="155">
        <v>123</v>
      </c>
      <c r="E136" s="271"/>
      <c r="F136" s="30"/>
      <c r="G136" s="30"/>
      <c r="H136" s="109"/>
    </row>
    <row r="137" spans="2:10" x14ac:dyDescent="0.2">
      <c r="B137" s="90"/>
      <c r="C137" s="110"/>
      <c r="D137" s="15"/>
      <c r="E137" s="17"/>
      <c r="F137" s="17"/>
      <c r="G137" s="17"/>
      <c r="H137" s="88"/>
    </row>
    <row r="138" spans="2:10" x14ac:dyDescent="0.2">
      <c r="B138" s="69"/>
      <c r="C138" s="110"/>
      <c r="D138" s="15"/>
      <c r="E138" s="17"/>
      <c r="F138" s="111">
        <f>SUM(F92:F136)</f>
        <v>0</v>
      </c>
      <c r="G138" s="111"/>
      <c r="H138" s="112">
        <f>SUM(H92:H136)</f>
        <v>0</v>
      </c>
      <c r="J138" s="7"/>
    </row>
    <row r="139" spans="2:10" x14ac:dyDescent="0.2">
      <c r="B139" s="71" t="s">
        <v>32</v>
      </c>
      <c r="C139" s="106">
        <v>87800</v>
      </c>
      <c r="D139" s="113">
        <v>96580</v>
      </c>
      <c r="E139" s="9"/>
      <c r="F139" s="9" t="s">
        <v>33</v>
      </c>
      <c r="G139" s="9"/>
      <c r="H139" s="75" t="s">
        <v>34</v>
      </c>
    </row>
    <row r="140" spans="2:10" x14ac:dyDescent="0.2">
      <c r="B140" s="5"/>
    </row>
    <row r="141" spans="2:10" x14ac:dyDescent="0.2">
      <c r="B141" s="33"/>
      <c r="C141" s="277"/>
      <c r="D141" s="277"/>
      <c r="E141" s="277"/>
      <c r="F141" s="11"/>
      <c r="G141" s="11"/>
    </row>
    <row r="142" spans="2:10" x14ac:dyDescent="0.2">
      <c r="B142" s="277">
        <v>1</v>
      </c>
      <c r="C142" s="278">
        <f>IF(AND(F138&lt;$C$139,H138&lt;$D$139),H138-F138,0)</f>
        <v>0</v>
      </c>
      <c r="D142" s="277"/>
      <c r="E142" s="277"/>
    </row>
    <row r="143" spans="2:10" x14ac:dyDescent="0.2">
      <c r="B143" s="277">
        <v>2</v>
      </c>
      <c r="C143" s="277">
        <f>IF(AND(F138&lt;C139,H138&gt;D139),(D139-F138),0)</f>
        <v>0</v>
      </c>
      <c r="D143" s="277" t="s">
        <v>35</v>
      </c>
      <c r="E143" s="277"/>
    </row>
    <row r="144" spans="2:10" x14ac:dyDescent="0.2">
      <c r="B144" s="277">
        <v>3</v>
      </c>
      <c r="C144" s="277">
        <f>IF(AND(F138&gt;C139,H138&gt;D139),(D139-C139),0)</f>
        <v>0</v>
      </c>
      <c r="D144" s="277" t="s">
        <v>36</v>
      </c>
      <c r="E144" s="277"/>
    </row>
    <row r="145" spans="2:8" x14ac:dyDescent="0.2">
      <c r="B145" s="280">
        <v>4</v>
      </c>
      <c r="C145" s="280">
        <f>IF(AND(F138&gt;C139,H138&lt;D139),(H138-$C$139),0)</f>
        <v>0</v>
      </c>
      <c r="D145" s="277" t="s">
        <v>37</v>
      </c>
      <c r="E145" s="277"/>
    </row>
    <row r="146" spans="2:8" x14ac:dyDescent="0.2">
      <c r="B146" s="277"/>
      <c r="C146" s="289">
        <f>SUM(C142:C145)</f>
        <v>0</v>
      </c>
      <c r="D146" s="277"/>
      <c r="E146" s="277"/>
    </row>
    <row r="147" spans="2:8" x14ac:dyDescent="0.2">
      <c r="C147" s="2"/>
    </row>
    <row r="148" spans="2:8" x14ac:dyDescent="0.2">
      <c r="C148" s="2"/>
    </row>
    <row r="149" spans="2:8" x14ac:dyDescent="0.2">
      <c r="C149" s="2"/>
    </row>
    <row r="150" spans="2:8" x14ac:dyDescent="0.2">
      <c r="C150" s="2"/>
    </row>
    <row r="151" spans="2:8" x14ac:dyDescent="0.2">
      <c r="C151" s="2"/>
    </row>
    <row r="152" spans="2:8" x14ac:dyDescent="0.2">
      <c r="B152" s="2" t="s">
        <v>72</v>
      </c>
    </row>
    <row r="153" spans="2:8" x14ac:dyDescent="0.2">
      <c r="B153" s="177" t="s">
        <v>235</v>
      </c>
      <c r="C153">
        <v>0</v>
      </c>
    </row>
    <row r="154" spans="2:8" x14ac:dyDescent="0.2">
      <c r="B154" t="s">
        <v>73</v>
      </c>
      <c r="C154">
        <v>0</v>
      </c>
    </row>
    <row r="155" spans="2:8" x14ac:dyDescent="0.2">
      <c r="B155" t="s">
        <v>74</v>
      </c>
      <c r="C155">
        <v>0</v>
      </c>
    </row>
    <row r="156" spans="2:8" x14ac:dyDescent="0.2">
      <c r="B156" t="s">
        <v>56</v>
      </c>
      <c r="C156">
        <v>0</v>
      </c>
    </row>
    <row r="157" spans="2:8" x14ac:dyDescent="0.2">
      <c r="C157" s="2" t="e">
        <f>IF(Utslag!#REF!&gt;0,Utslag!#REF!,IF(Utslag!#REF!&lt;0,Utslag!#REF!,IF(Utslag!#REF!&gt;0,Utslag!#REF!,IF(Utslag!#REF!&lt;0,Utslag!#REF!,Utslag!#REF!))))</f>
        <v>#REF!</v>
      </c>
      <c r="E157" s="157" t="s">
        <v>170</v>
      </c>
      <c r="F157" t="s">
        <v>171</v>
      </c>
      <c r="H157" t="s">
        <v>172</v>
      </c>
    </row>
    <row r="158" spans="2:8" x14ac:dyDescent="0.2">
      <c r="B158" t="s">
        <v>75</v>
      </c>
      <c r="C158">
        <f>IF('Ark18'!C11&gt;49,9000,IF('Ark18'!C11&gt;5,'Ark18'!C11*580,0))</f>
        <v>0</v>
      </c>
      <c r="E158">
        <v>580</v>
      </c>
      <c r="F158">
        <v>580</v>
      </c>
      <c r="H158">
        <v>9000</v>
      </c>
    </row>
    <row r="159" spans="2:8" x14ac:dyDescent="0.2">
      <c r="C159" s="2" t="e">
        <f>IF(C157&gt;0,C157,IF(C157&lt;0,C157,C158))</f>
        <v>#REF!</v>
      </c>
    </row>
    <row r="160" spans="2:8" x14ac:dyDescent="0.2">
      <c r="B160" t="s">
        <v>76</v>
      </c>
    </row>
    <row r="161" spans="1:37" x14ac:dyDescent="0.2">
      <c r="C161" s="31" t="e">
        <f>IF(C159&gt;0,C159,IF(C159&lt;0,C159,Utslag!#REF!))</f>
        <v>#REF!</v>
      </c>
      <c r="D161" t="s">
        <v>77</v>
      </c>
    </row>
    <row r="163" spans="1:37" x14ac:dyDescent="0.2">
      <c r="B163" t="s">
        <v>173</v>
      </c>
      <c r="C163" t="e">
        <f>IF(Utslag!#REF!+C158+Utslag!#REF!=0,Utslag!#REF!+Utslag!#REF!,0)</f>
        <v>#REF!</v>
      </c>
    </row>
    <row r="164" spans="1:37" x14ac:dyDescent="0.2">
      <c r="B164" t="s">
        <v>174</v>
      </c>
      <c r="C164" t="e">
        <f>IF(Utslag!#REF!+Utslag!#REF!+C158+Utslag!#REF!=0,Utslag!#REF!,0)</f>
        <v>#REF!</v>
      </c>
    </row>
    <row r="165" spans="1:37" x14ac:dyDescent="0.2">
      <c r="B165" t="s">
        <v>175</v>
      </c>
      <c r="C165" t="e">
        <f>IF(Utslag!#REF!+Utslag!#REF!+Utslag!#REF!+Utslag!#REF!=0,C158,0)</f>
        <v>#REF!</v>
      </c>
    </row>
    <row r="166" spans="1:37" x14ac:dyDescent="0.2">
      <c r="B166" t="s">
        <v>176</v>
      </c>
      <c r="C166" t="e">
        <f>IF(Utslag!#REF!+Utslag!#REF!+Utslag!#REF!+C158=0,Utslag!#REF!,0)</f>
        <v>#REF!</v>
      </c>
    </row>
    <row r="167" spans="1:37" x14ac:dyDescent="0.2">
      <c r="B167" t="s">
        <v>177</v>
      </c>
      <c r="C167" t="e">
        <f>IF(AND(Utslag!#REF!&gt;0,Utslag!#REF!&gt;0),0,Utslag!#REF!)</f>
        <v>#REF!</v>
      </c>
      <c r="F167" s="2"/>
      <c r="G167" s="2"/>
    </row>
    <row r="168" spans="1:37" x14ac:dyDescent="0.2">
      <c r="B168" t="s">
        <v>178</v>
      </c>
      <c r="C168" t="e">
        <f>IF(AND(Utslag!#REF!&gt;0,Utslag!#REF!&gt;0),0,IF(AND('Ark18'!C11&gt;6,'Ark18'!C11&lt;50,'Ark18'!C11*2000),IF('Ark18'!C11&gt;50,80000),0))</f>
        <v>#REF!</v>
      </c>
    </row>
    <row r="172" spans="1:37" ht="16.5" customHeight="1" x14ac:dyDescent="0.25">
      <c r="A172" s="24"/>
      <c r="B172" s="28"/>
      <c r="C172" s="25"/>
      <c r="D172" s="10"/>
      <c r="E172" s="10"/>
      <c r="F172" s="10"/>
      <c r="G172" s="10"/>
      <c r="H172" s="10"/>
      <c r="I172" s="10"/>
      <c r="J172" s="22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6.5" customHeight="1" x14ac:dyDescent="0.25">
      <c r="A173" s="24"/>
      <c r="B173" s="28"/>
      <c r="C173" s="25"/>
      <c r="D173" s="10"/>
      <c r="E173" s="10"/>
      <c r="F173" s="10"/>
      <c r="G173" s="10"/>
      <c r="H173" s="10"/>
      <c r="I173" s="10"/>
      <c r="J173" s="2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5" spans="1:37" ht="16.5" customHeight="1" x14ac:dyDescent="0.25">
      <c r="A175" s="24"/>
      <c r="B175" s="28"/>
      <c r="C175" s="25"/>
      <c r="D175" s="10"/>
      <c r="E175" s="10"/>
      <c r="F175" s="10"/>
      <c r="G175" s="10"/>
      <c r="H175" s="10"/>
      <c r="I175" s="10"/>
      <c r="J175" s="2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6.5" customHeight="1" x14ac:dyDescent="0.25">
      <c r="A176" s="24"/>
      <c r="B176" s="28"/>
      <c r="C176" s="25"/>
      <c r="D176" s="10"/>
      <c r="E176" s="10"/>
      <c r="F176" s="10"/>
      <c r="G176" s="10"/>
      <c r="H176" s="10"/>
      <c r="I176" s="10"/>
      <c r="J176" s="22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6.5" customHeight="1" x14ac:dyDescent="0.25">
      <c r="A177" s="24"/>
      <c r="B177" s="28"/>
      <c r="C177" s="25"/>
      <c r="D177" s="10"/>
      <c r="E177" s="10"/>
      <c r="F177" s="10"/>
      <c r="G177" s="10"/>
      <c r="H177" s="10"/>
      <c r="I177" s="10"/>
      <c r="J177" s="22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9" spans="1:37" ht="16.5" customHeight="1" x14ac:dyDescent="0.25">
      <c r="A179" s="24"/>
      <c r="B179" s="28"/>
      <c r="C179" s="25"/>
      <c r="D179" s="10"/>
      <c r="E179" s="10"/>
      <c r="F179" s="10"/>
      <c r="G179" s="10"/>
      <c r="H179" s="10"/>
      <c r="I179" s="10"/>
      <c r="J179" s="22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5.75" customHeight="1" x14ac:dyDescent="0.25">
      <c r="A180" s="24"/>
      <c r="B180" s="27"/>
      <c r="C180" s="25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5" x14ac:dyDescent="0.25">
      <c r="A181" s="24"/>
      <c r="B181" s="23"/>
      <c r="C181" s="25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5" spans="1:37" x14ac:dyDescent="0.2">
      <c r="B185" t="s">
        <v>151</v>
      </c>
      <c r="C185" t="s">
        <v>27</v>
      </c>
      <c r="D185" s="177" t="s">
        <v>234</v>
      </c>
      <c r="E185" s="177" t="s">
        <v>237</v>
      </c>
      <c r="H185" t="s">
        <v>30</v>
      </c>
    </row>
    <row r="187" spans="1:37" x14ac:dyDescent="0.2">
      <c r="B187" t="s">
        <v>62</v>
      </c>
      <c r="C187" s="156">
        <v>1650</v>
      </c>
      <c r="D187" s="156">
        <v>1650</v>
      </c>
      <c r="E187" s="274">
        <f>D187-C187</f>
        <v>0</v>
      </c>
      <c r="H187">
        <f>E187*(Utslag!B39+Utslag!B40+Utslag!B41)</f>
        <v>0</v>
      </c>
      <c r="J187" s="317">
        <f>IF(Utslag!$B$10="Nei",0,Satser!$H$198)</f>
        <v>0</v>
      </c>
    </row>
    <row r="188" spans="1:37" x14ac:dyDescent="0.2">
      <c r="B188" t="s">
        <v>38</v>
      </c>
      <c r="C188" s="156">
        <v>800</v>
      </c>
      <c r="D188" s="156">
        <v>800</v>
      </c>
      <c r="E188" s="274">
        <f t="shared" ref="E188:E197" si="17">D188-C188</f>
        <v>0</v>
      </c>
      <c r="H188">
        <f>E188*Utslag!B38</f>
        <v>0</v>
      </c>
    </row>
    <row r="189" spans="1:37" x14ac:dyDescent="0.2">
      <c r="B189" t="s">
        <v>48</v>
      </c>
      <c r="C189" s="156">
        <v>400</v>
      </c>
      <c r="D189" s="156">
        <v>500</v>
      </c>
      <c r="E189" s="274">
        <f t="shared" si="17"/>
        <v>100</v>
      </c>
      <c r="H189">
        <f>E189*Utslag!B37</f>
        <v>0</v>
      </c>
    </row>
    <row r="190" spans="1:37" x14ac:dyDescent="0.2">
      <c r="B190" t="s">
        <v>47</v>
      </c>
      <c r="C190" s="156">
        <v>25</v>
      </c>
      <c r="D190" s="156">
        <v>40</v>
      </c>
      <c r="E190" s="274">
        <f t="shared" si="17"/>
        <v>15</v>
      </c>
      <c r="H190">
        <f>E190*(Utslag!B36+Utslag!B35*0.6)</f>
        <v>0</v>
      </c>
    </row>
    <row r="191" spans="1:37" x14ac:dyDescent="0.2">
      <c r="B191" t="s">
        <v>168</v>
      </c>
      <c r="C191" s="156">
        <v>3600</v>
      </c>
      <c r="D191" s="156">
        <v>4100</v>
      </c>
      <c r="E191" s="274">
        <f t="shared" si="17"/>
        <v>500</v>
      </c>
      <c r="H191">
        <f>E191*Utslag!B43</f>
        <v>0</v>
      </c>
    </row>
    <row r="192" spans="1:37" x14ac:dyDescent="0.2">
      <c r="B192" t="s">
        <v>16</v>
      </c>
      <c r="C192" s="156">
        <v>2500</v>
      </c>
      <c r="D192" s="156">
        <v>3000</v>
      </c>
      <c r="E192" s="274">
        <f t="shared" si="17"/>
        <v>500</v>
      </c>
      <c r="H192">
        <f>E192*Utslag!B44</f>
        <v>0</v>
      </c>
    </row>
    <row r="193" spans="2:9" x14ac:dyDescent="0.2">
      <c r="B193" t="s">
        <v>152</v>
      </c>
      <c r="C193" s="156">
        <v>730</v>
      </c>
      <c r="D193" s="156">
        <v>730</v>
      </c>
      <c r="E193" s="274">
        <f t="shared" si="17"/>
        <v>0</v>
      </c>
      <c r="H193">
        <f>E193*Utslag!B45</f>
        <v>0</v>
      </c>
    </row>
    <row r="194" spans="2:9" x14ac:dyDescent="0.2">
      <c r="B194" t="s">
        <v>169</v>
      </c>
      <c r="C194" s="156">
        <v>500</v>
      </c>
      <c r="D194" s="156">
        <v>500</v>
      </c>
      <c r="E194" s="274">
        <f t="shared" si="17"/>
        <v>0</v>
      </c>
      <c r="H194">
        <f>E194*Utslag!B48</f>
        <v>0</v>
      </c>
    </row>
    <row r="195" spans="2:9" x14ac:dyDescent="0.2">
      <c r="B195" t="s">
        <v>153</v>
      </c>
      <c r="C195" s="156">
        <v>517</v>
      </c>
      <c r="D195" s="156">
        <v>517</v>
      </c>
      <c r="E195" s="274">
        <f t="shared" si="17"/>
        <v>0</v>
      </c>
    </row>
    <row r="196" spans="2:9" x14ac:dyDescent="0.2">
      <c r="B196" t="s">
        <v>11</v>
      </c>
      <c r="C196" s="156">
        <v>315</v>
      </c>
      <c r="D196" s="156">
        <v>315</v>
      </c>
      <c r="E196" s="274">
        <f t="shared" si="17"/>
        <v>0</v>
      </c>
      <c r="F196" s="18"/>
      <c r="G196" s="18"/>
      <c r="I196" s="20"/>
    </row>
    <row r="197" spans="2:9" x14ac:dyDescent="0.2">
      <c r="B197" t="s">
        <v>7</v>
      </c>
      <c r="C197" s="156">
        <v>353</v>
      </c>
      <c r="D197" s="156">
        <v>353</v>
      </c>
      <c r="E197" s="274">
        <f t="shared" si="17"/>
        <v>0</v>
      </c>
      <c r="F197" s="18"/>
      <c r="G197" s="18"/>
      <c r="H197">
        <f>E197*Utslag!B46</f>
        <v>0</v>
      </c>
      <c r="I197" s="20"/>
    </row>
    <row r="198" spans="2:9" x14ac:dyDescent="0.2">
      <c r="D198" s="5"/>
      <c r="E198" s="1"/>
      <c r="F198" s="18" t="s">
        <v>156</v>
      </c>
      <c r="G198" s="18"/>
      <c r="H198" s="19">
        <f>SUM(H187:H197)</f>
        <v>0</v>
      </c>
      <c r="I198" s="19"/>
    </row>
    <row r="199" spans="2:9" x14ac:dyDescent="0.2">
      <c r="D199" s="5"/>
      <c r="E199" s="1"/>
      <c r="F199" s="18"/>
      <c r="G199" s="18"/>
      <c r="H199" s="19"/>
      <c r="I199" s="20">
        <f>I198+H198</f>
        <v>0</v>
      </c>
    </row>
    <row r="200" spans="2:9" x14ac:dyDescent="0.2">
      <c r="D200" s="5"/>
      <c r="E200" s="1"/>
      <c r="F200" s="18"/>
      <c r="G200" s="18"/>
      <c r="H200" s="19"/>
      <c r="I200" s="20"/>
    </row>
    <row r="201" spans="2:9" x14ac:dyDescent="0.2">
      <c r="D201" s="1"/>
      <c r="E201" s="1"/>
      <c r="F201" s="7"/>
      <c r="G201" s="7"/>
    </row>
    <row r="202" spans="2:9" x14ac:dyDescent="0.2">
      <c r="C202" t="s">
        <v>180</v>
      </c>
      <c r="D202" s="158" t="s">
        <v>163</v>
      </c>
      <c r="E202" s="158" t="s">
        <v>56</v>
      </c>
      <c r="F202" s="158" t="s">
        <v>16</v>
      </c>
      <c r="G202" s="158"/>
      <c r="H202" s="158" t="s">
        <v>179</v>
      </c>
    </row>
    <row r="203" spans="2:9" x14ac:dyDescent="0.2">
      <c r="C203" t="s">
        <v>181</v>
      </c>
      <c r="D203">
        <f>D204/5</f>
        <v>24400</v>
      </c>
      <c r="E203" s="7">
        <f>130000/27</f>
        <v>4814.8148148148148</v>
      </c>
      <c r="F203">
        <v>0</v>
      </c>
      <c r="H203">
        <v>0</v>
      </c>
    </row>
    <row r="204" spans="2:9" x14ac:dyDescent="0.2">
      <c r="C204" t="s">
        <v>182</v>
      </c>
      <c r="D204">
        <f>IF(Utslag!B6&gt;5,130000,IF(Utslag!B6=2,115000,122000))</f>
        <v>122000</v>
      </c>
      <c r="E204">
        <v>130000</v>
      </c>
      <c r="F204">
        <v>0</v>
      </c>
      <c r="H204">
        <v>0</v>
      </c>
    </row>
    <row r="205" spans="2:9" x14ac:dyDescent="0.2">
      <c r="C205" t="s">
        <v>183</v>
      </c>
    </row>
    <row r="206" spans="2:9" x14ac:dyDescent="0.2">
      <c r="C206" t="s">
        <v>181</v>
      </c>
      <c r="D206">
        <f>IF(Utslag!B6&lt;6,25000,24800)</f>
        <v>25000</v>
      </c>
      <c r="E206" s="7">
        <f>133000/27</f>
        <v>4925.9259259259261</v>
      </c>
      <c r="F206">
        <v>0</v>
      </c>
      <c r="H206">
        <v>0</v>
      </c>
    </row>
    <row r="207" spans="2:9" x14ac:dyDescent="0.2">
      <c r="C207" t="s">
        <v>182</v>
      </c>
      <c r="D207">
        <f>IF(Utslag!B6&gt;5,133000,IF(Utslag!B6=2,118000,125000))</f>
        <v>125000</v>
      </c>
      <c r="E207">
        <v>133000</v>
      </c>
      <c r="F207">
        <v>0</v>
      </c>
      <c r="H207">
        <v>0</v>
      </c>
    </row>
    <row r="209" spans="2:12" x14ac:dyDescent="0.2">
      <c r="C209" t="s">
        <v>184</v>
      </c>
    </row>
    <row r="210" spans="2:12" x14ac:dyDescent="0.2">
      <c r="C210" t="s">
        <v>180</v>
      </c>
      <c r="D210">
        <f>IF('Ark18'!$C$10&lt;5,'Ark18'!$C$10*Satser!D$203,Satser!D$204)</f>
        <v>0</v>
      </c>
      <c r="E210">
        <f>IF('Ark18'!$C$13&lt;27,'Ark18'!$C$13*Satser!E$203,Satser!E$204)</f>
        <v>0</v>
      </c>
      <c r="F210">
        <f>IF('Ark18'!$C$11&lt;6,0,IF('Ark18'!$C$11&lt;50,'Ark18'!$C$11*Satser!F$203,Satser!F$204))</f>
        <v>0</v>
      </c>
      <c r="H210">
        <f>IF('Ark18'!$C$14&lt;10,0,IF('Ark18'!$C$14&lt;50,'Ark18'!$C$14*Satser!H$203,Satser!H$204))</f>
        <v>0</v>
      </c>
      <c r="I210">
        <f>MAX(D210:H210)</f>
        <v>0</v>
      </c>
    </row>
    <row r="211" spans="2:12" x14ac:dyDescent="0.2">
      <c r="C211" t="s">
        <v>185</v>
      </c>
      <c r="D211">
        <f>IF('Ark18'!$C$10&lt;5,'Ark18'!$C$10*Satser!D$206,Satser!D$207)</f>
        <v>0</v>
      </c>
      <c r="E211">
        <f>IF('Ark18'!$C$13&lt;27,'Ark18'!$C$13*Satser!E$206,Satser!E$207)</f>
        <v>0</v>
      </c>
      <c r="F211">
        <f>IF('Ark18'!$C$11&lt;6,0,IF('Ark18'!$C$11&lt;50,'Ark18'!$C$11*Satser!F$206,Satser!F$207))</f>
        <v>0</v>
      </c>
      <c r="H211">
        <f>IF('Ark18'!$C$14&lt;10,0,IF('Ark18'!$C$14&lt;50,'Ark18'!$C$14*Satser!H$206,Satser!H$207))</f>
        <v>0</v>
      </c>
      <c r="I211">
        <f>MAX(D211:H211)</f>
        <v>0</v>
      </c>
    </row>
    <row r="212" spans="2:12" x14ac:dyDescent="0.2">
      <c r="C212" t="s">
        <v>186</v>
      </c>
      <c r="D212">
        <f>IF($I$211=D211,0,D211)</f>
        <v>0</v>
      </c>
      <c r="E212">
        <f>IF($I$211=E211,0,E211)</f>
        <v>0</v>
      </c>
      <c r="F212">
        <f>IF($I$211=F211,0,F211)</f>
        <v>0</v>
      </c>
      <c r="H212">
        <f>IF($I$211=H211,0,H211)</f>
        <v>0</v>
      </c>
      <c r="I212">
        <f>MAX(D212:H212)</f>
        <v>0</v>
      </c>
    </row>
    <row r="213" spans="2:12" x14ac:dyDescent="0.2">
      <c r="C213" s="64" t="s">
        <v>187</v>
      </c>
      <c r="D213" s="64"/>
      <c r="E213" s="64"/>
      <c r="F213" s="64"/>
      <c r="G213" s="64"/>
      <c r="H213" s="64"/>
      <c r="I213" s="64">
        <f>SUM(I211:I212)-I210</f>
        <v>0</v>
      </c>
    </row>
    <row r="216" spans="2:12" x14ac:dyDescent="0.2">
      <c r="I216" s="177" t="s">
        <v>196</v>
      </c>
      <c r="K216" s="177" t="s">
        <v>197</v>
      </c>
      <c r="L216">
        <v>3</v>
      </c>
    </row>
    <row r="217" spans="2:12" x14ac:dyDescent="0.2">
      <c r="H217" s="177" t="s">
        <v>163</v>
      </c>
      <c r="I217" s="178">
        <v>3600</v>
      </c>
      <c r="J217" s="178">
        <v>18000</v>
      </c>
      <c r="K217" s="178">
        <v>0</v>
      </c>
      <c r="L217" s="178">
        <v>0</v>
      </c>
    </row>
    <row r="218" spans="2:12" x14ac:dyDescent="0.2">
      <c r="H218" s="177" t="s">
        <v>56</v>
      </c>
      <c r="I218" s="178">
        <v>667</v>
      </c>
      <c r="J218" s="178">
        <v>18000</v>
      </c>
      <c r="K218" s="178"/>
      <c r="L218" s="178"/>
    </row>
    <row r="219" spans="2:12" x14ac:dyDescent="0.2">
      <c r="H219" s="177" t="s">
        <v>16</v>
      </c>
      <c r="I219" s="178">
        <v>360</v>
      </c>
      <c r="J219" s="178">
        <v>18000</v>
      </c>
      <c r="K219" s="178"/>
      <c r="L219" s="178"/>
    </row>
    <row r="221" spans="2:12" ht="15" x14ac:dyDescent="0.25">
      <c r="B221" s="291" t="s">
        <v>193</v>
      </c>
      <c r="C221" s="168">
        <v>39630</v>
      </c>
      <c r="D221" s="168">
        <v>39448</v>
      </c>
      <c r="H221" s="177" t="s">
        <v>163</v>
      </c>
      <c r="I221">
        <f>I213</f>
        <v>0</v>
      </c>
    </row>
    <row r="222" spans="2:12" x14ac:dyDescent="0.2">
      <c r="B222" s="127" t="s">
        <v>163</v>
      </c>
      <c r="C222" s="128">
        <v>0.36</v>
      </c>
      <c r="D222" s="169">
        <v>0</v>
      </c>
      <c r="H222" s="177" t="s">
        <v>16</v>
      </c>
      <c r="I222" s="179">
        <f>IF('Ark18'!C11&lt;6,0,IF('Ark18'!C11&lt;40,25*'Ark18'!C11,IF('Ark18'!C11&lt;40,0*'Ark18'!C11+1000,1000)))</f>
        <v>0</v>
      </c>
    </row>
    <row r="223" spans="2:12" x14ac:dyDescent="0.2">
      <c r="B223" s="131" t="s">
        <v>6</v>
      </c>
      <c r="C223" s="132">
        <v>0</v>
      </c>
      <c r="D223" s="169">
        <v>0</v>
      </c>
      <c r="H223" s="177"/>
    </row>
    <row r="224" spans="2:12" x14ac:dyDescent="0.2">
      <c r="B224" s="131" t="s">
        <v>79</v>
      </c>
      <c r="C224" s="132">
        <v>0</v>
      </c>
      <c r="D224" s="169">
        <v>0</v>
      </c>
    </row>
    <row r="225" spans="2:12" x14ac:dyDescent="0.2">
      <c r="B225" s="131" t="s">
        <v>134</v>
      </c>
      <c r="C225" s="132">
        <v>0</v>
      </c>
      <c r="D225" s="169"/>
    </row>
    <row r="226" spans="2:12" x14ac:dyDescent="0.2">
      <c r="B226" s="131" t="s">
        <v>81</v>
      </c>
      <c r="C226" s="132">
        <v>0</v>
      </c>
      <c r="D226" s="169">
        <v>0</v>
      </c>
    </row>
    <row r="227" spans="2:12" x14ac:dyDescent="0.2">
      <c r="B227" s="176" t="s">
        <v>242</v>
      </c>
      <c r="C227" s="290">
        <v>1</v>
      </c>
      <c r="D227" s="169">
        <v>0</v>
      </c>
    </row>
    <row r="228" spans="2:12" x14ac:dyDescent="0.2">
      <c r="B228" s="176" t="s">
        <v>243</v>
      </c>
      <c r="C228" s="290">
        <v>1</v>
      </c>
      <c r="D228" s="169"/>
    </row>
    <row r="229" spans="2:12" x14ac:dyDescent="0.2">
      <c r="B229" s="176" t="s">
        <v>244</v>
      </c>
      <c r="C229" s="290">
        <v>0.9</v>
      </c>
      <c r="D229" s="169"/>
    </row>
    <row r="230" spans="2:12" x14ac:dyDescent="0.2">
      <c r="B230" s="176" t="s">
        <v>51</v>
      </c>
      <c r="C230" s="231">
        <v>0.92700000000000005</v>
      </c>
      <c r="D230" s="169"/>
    </row>
    <row r="231" spans="2:12" x14ac:dyDescent="0.2">
      <c r="B231" s="131" t="s">
        <v>167</v>
      </c>
      <c r="C231" s="132">
        <v>0.9</v>
      </c>
      <c r="D231" s="169"/>
      <c r="F231" s="78" t="s">
        <v>118</v>
      </c>
      <c r="G231" s="41"/>
      <c r="H231" s="48"/>
      <c r="I231" s="49"/>
      <c r="J231" s="50"/>
      <c r="K231" s="50"/>
      <c r="L231" s="87"/>
    </row>
    <row r="232" spans="2:12" x14ac:dyDescent="0.2">
      <c r="B232" s="131" t="s">
        <v>69</v>
      </c>
      <c r="C232" s="132">
        <v>1.9</v>
      </c>
      <c r="D232" s="169"/>
      <c r="F232" s="73" t="s">
        <v>119</v>
      </c>
      <c r="G232" s="5"/>
      <c r="H232" s="15"/>
      <c r="I232" s="167"/>
      <c r="J232" s="165">
        <f>'Ark18'!C20</f>
        <v>0</v>
      </c>
      <c r="K232" s="17">
        <f>H232*J232</f>
        <v>0</v>
      </c>
      <c r="L232" s="88">
        <f>I232*J232</f>
        <v>0</v>
      </c>
    </row>
    <row r="233" spans="2:12" x14ac:dyDescent="0.2">
      <c r="B233" s="131" t="s">
        <v>80</v>
      </c>
      <c r="C233" s="132">
        <v>0</v>
      </c>
      <c r="D233" s="169">
        <v>0</v>
      </c>
      <c r="F233" s="73" t="s">
        <v>148</v>
      </c>
      <c r="G233" s="5"/>
      <c r="H233" s="15">
        <v>500</v>
      </c>
      <c r="I233" s="167">
        <v>500</v>
      </c>
      <c r="J233" s="17">
        <v>0</v>
      </c>
      <c r="K233" s="17">
        <f>H233*J233</f>
        <v>0</v>
      </c>
      <c r="L233" s="88">
        <f>I233*J233</f>
        <v>0</v>
      </c>
    </row>
    <row r="234" spans="2:12" x14ac:dyDescent="0.2">
      <c r="B234" s="131" t="s">
        <v>38</v>
      </c>
      <c r="C234" s="132">
        <v>0.9</v>
      </c>
      <c r="D234" s="169">
        <v>0</v>
      </c>
      <c r="F234" s="74" t="s">
        <v>121</v>
      </c>
      <c r="G234" s="3"/>
      <c r="H234" s="14">
        <v>300</v>
      </c>
      <c r="I234" s="30">
        <v>300</v>
      </c>
      <c r="J234" s="9"/>
      <c r="K234" s="9"/>
      <c r="L234" s="75"/>
    </row>
    <row r="235" spans="2:12" x14ac:dyDescent="0.2">
      <c r="B235" s="176" t="s">
        <v>143</v>
      </c>
      <c r="C235" s="181">
        <v>0.15</v>
      </c>
      <c r="D235" s="170">
        <v>0</v>
      </c>
    </row>
    <row r="236" spans="2:12" x14ac:dyDescent="0.2">
      <c r="B236" s="176" t="s">
        <v>62</v>
      </c>
      <c r="C236" s="134">
        <v>0.15</v>
      </c>
      <c r="D236" s="170">
        <v>0</v>
      </c>
    </row>
    <row r="240" spans="2:12" x14ac:dyDescent="0.2">
      <c r="B240" t="s">
        <v>195</v>
      </c>
      <c r="C240">
        <v>0</v>
      </c>
    </row>
    <row r="242" spans="2:4" x14ac:dyDescent="0.2">
      <c r="B242" t="s">
        <v>78</v>
      </c>
      <c r="C242">
        <v>0</v>
      </c>
    </row>
    <row r="246" spans="2:4" x14ac:dyDescent="0.2">
      <c r="C246">
        <f>1.5</f>
        <v>1.5</v>
      </c>
    </row>
    <row r="247" spans="2:4" x14ac:dyDescent="0.2">
      <c r="C247">
        <v>26.22</v>
      </c>
    </row>
    <row r="248" spans="2:4" x14ac:dyDescent="0.2">
      <c r="C248">
        <f>C246/C247</f>
        <v>5.7208237986270026E-2</v>
      </c>
    </row>
    <row r="253" spans="2:4" x14ac:dyDescent="0.2">
      <c r="B253" s="140" t="s">
        <v>115</v>
      </c>
      <c r="C253" s="163"/>
      <c r="D253" s="133" t="s">
        <v>5</v>
      </c>
    </row>
    <row r="255" spans="2:4" x14ac:dyDescent="0.2">
      <c r="C255" s="177"/>
    </row>
    <row r="256" spans="2:4" x14ac:dyDescent="0.2">
      <c r="B256" s="177"/>
    </row>
    <row r="257" spans="2:2" x14ac:dyDescent="0.2">
      <c r="B257" s="177"/>
    </row>
    <row r="258" spans="2:2" x14ac:dyDescent="0.2">
      <c r="B258" s="180"/>
    </row>
    <row r="259" spans="2:2" x14ac:dyDescent="0.2">
      <c r="B259" s="180"/>
    </row>
    <row r="260" spans="2:2" x14ac:dyDescent="0.2">
      <c r="B260" s="180"/>
    </row>
    <row r="261" spans="2:2" x14ac:dyDescent="0.2">
      <c r="B261" s="180"/>
    </row>
    <row r="262" spans="2:2" x14ac:dyDescent="0.2">
      <c r="B262" s="180"/>
    </row>
    <row r="263" spans="2:2" x14ac:dyDescent="0.2">
      <c r="B263" s="180"/>
    </row>
    <row r="264" spans="2:2" x14ac:dyDescent="0.2">
      <c r="B264" s="180"/>
    </row>
    <row r="265" spans="2:2" x14ac:dyDescent="0.2">
      <c r="B265" s="180"/>
    </row>
    <row r="266" spans="2:2" x14ac:dyDescent="0.2">
      <c r="B266" s="180"/>
    </row>
    <row r="267" spans="2:2" x14ac:dyDescent="0.2">
      <c r="B267" s="180"/>
    </row>
    <row r="268" spans="2:2" x14ac:dyDescent="0.2">
      <c r="B268" s="180"/>
    </row>
    <row r="269" spans="2:2" x14ac:dyDescent="0.2">
      <c r="B269" s="180"/>
    </row>
    <row r="270" spans="2:2" x14ac:dyDescent="0.2">
      <c r="B270" s="180"/>
    </row>
    <row r="271" spans="2:2" x14ac:dyDescent="0.2">
      <c r="B271" s="180"/>
    </row>
    <row r="272" spans="2:2" x14ac:dyDescent="0.2">
      <c r="B272" s="180"/>
    </row>
    <row r="273" spans="2:2" x14ac:dyDescent="0.2">
      <c r="B273" s="180"/>
    </row>
    <row r="274" spans="2:2" x14ac:dyDescent="0.2">
      <c r="B274" s="180"/>
    </row>
    <row r="275" spans="2:2" x14ac:dyDescent="0.2">
      <c r="B275" s="180"/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D61"/>
  <sheetViews>
    <sheetView workbookViewId="0">
      <selection activeCell="C9" sqref="C9"/>
    </sheetView>
  </sheetViews>
  <sheetFormatPr baseColWidth="10" defaultRowHeight="12.75" x14ac:dyDescent="0.2"/>
  <cols>
    <col min="2" max="2" width="42.28515625" customWidth="1"/>
    <col min="3" max="3" width="20.28515625" customWidth="1"/>
  </cols>
  <sheetData>
    <row r="6" spans="2:4" ht="15" x14ac:dyDescent="0.25">
      <c r="B6" s="192" t="s">
        <v>143</v>
      </c>
      <c r="C6" s="230"/>
      <c r="D6" s="189" t="s">
        <v>3</v>
      </c>
    </row>
    <row r="7" spans="2:4" ht="15" x14ac:dyDescent="0.25">
      <c r="B7" s="192" t="s">
        <v>141</v>
      </c>
      <c r="C7" s="225"/>
      <c r="D7" s="189" t="s">
        <v>3</v>
      </c>
    </row>
    <row r="8" spans="2:4" ht="15" x14ac:dyDescent="0.25">
      <c r="B8" s="192" t="s">
        <v>51</v>
      </c>
      <c r="C8" s="230"/>
      <c r="D8" s="189" t="s">
        <v>3</v>
      </c>
    </row>
    <row r="9" spans="2:4" ht="15" x14ac:dyDescent="0.25">
      <c r="B9" s="192" t="s">
        <v>50</v>
      </c>
      <c r="C9" s="230"/>
      <c r="D9" s="189" t="s">
        <v>3</v>
      </c>
    </row>
    <row r="10" spans="2:4" ht="15" x14ac:dyDescent="0.25">
      <c r="B10" s="192" t="s">
        <v>4</v>
      </c>
      <c r="C10" s="229"/>
      <c r="D10" s="189" t="s">
        <v>5</v>
      </c>
    </row>
    <row r="11" spans="2:4" ht="15" x14ac:dyDescent="0.25">
      <c r="B11" s="192" t="s">
        <v>188</v>
      </c>
      <c r="C11" s="229"/>
      <c r="D11" s="189" t="s">
        <v>5</v>
      </c>
    </row>
    <row r="12" spans="2:4" ht="15" x14ac:dyDescent="0.25">
      <c r="B12" s="192" t="s">
        <v>6</v>
      </c>
      <c r="C12" s="229"/>
      <c r="D12" s="189" t="s">
        <v>5</v>
      </c>
    </row>
    <row r="13" spans="2:4" ht="15" x14ac:dyDescent="0.25">
      <c r="B13" s="192" t="s">
        <v>65</v>
      </c>
      <c r="C13" s="229"/>
      <c r="D13" s="189" t="s">
        <v>5</v>
      </c>
    </row>
    <row r="14" spans="2:4" ht="15" x14ac:dyDescent="0.25">
      <c r="B14" s="192" t="s">
        <v>169</v>
      </c>
      <c r="C14" s="229"/>
      <c r="D14" s="189" t="s">
        <v>5</v>
      </c>
    </row>
    <row r="15" spans="2:4" ht="15" x14ac:dyDescent="0.25">
      <c r="B15" s="192" t="s">
        <v>213</v>
      </c>
      <c r="C15" s="229"/>
      <c r="D15" s="189" t="s">
        <v>5</v>
      </c>
    </row>
    <row r="16" spans="2:4" ht="15" x14ac:dyDescent="0.25">
      <c r="B16" s="192" t="s">
        <v>207</v>
      </c>
      <c r="C16" s="229"/>
      <c r="D16" s="189" t="s">
        <v>5</v>
      </c>
    </row>
    <row r="17" spans="2:4" ht="15" x14ac:dyDescent="0.25">
      <c r="B17" s="187" t="s">
        <v>132</v>
      </c>
      <c r="C17" s="199"/>
      <c r="D17" s="189"/>
    </row>
    <row r="18" spans="2:4" ht="15" x14ac:dyDescent="0.25">
      <c r="B18" s="192" t="s">
        <v>161</v>
      </c>
      <c r="C18" s="225"/>
      <c r="D18" s="189" t="s">
        <v>5</v>
      </c>
    </row>
    <row r="19" spans="2:4" ht="15" x14ac:dyDescent="0.25">
      <c r="B19" s="193" t="s">
        <v>162</v>
      </c>
      <c r="C19" s="194"/>
      <c r="D19" s="191" t="s">
        <v>5</v>
      </c>
    </row>
    <row r="20" spans="2:4" ht="15" x14ac:dyDescent="0.25">
      <c r="B20" s="192" t="s">
        <v>192</v>
      </c>
      <c r="C20" s="225"/>
      <c r="D20" s="189" t="s">
        <v>59</v>
      </c>
    </row>
    <row r="21" spans="2:4" ht="15" x14ac:dyDescent="0.25">
      <c r="B21" s="193" t="s">
        <v>127</v>
      </c>
      <c r="C21" s="237"/>
      <c r="D21" s="191" t="s">
        <v>5</v>
      </c>
    </row>
    <row r="22" spans="2:4" ht="15" x14ac:dyDescent="0.25">
      <c r="B22" s="233" t="s">
        <v>150</v>
      </c>
      <c r="C22" s="198"/>
      <c r="D22" s="235" t="s">
        <v>2</v>
      </c>
    </row>
    <row r="23" spans="2:4" ht="15" x14ac:dyDescent="0.25">
      <c r="B23" s="187" t="s">
        <v>159</v>
      </c>
      <c r="C23" s="188"/>
      <c r="D23" s="189"/>
    </row>
    <row r="24" spans="2:4" ht="15" x14ac:dyDescent="0.25">
      <c r="B24" s="187" t="s">
        <v>199</v>
      </c>
      <c r="C24" s="188" t="s">
        <v>212</v>
      </c>
      <c r="D24" s="189"/>
    </row>
    <row r="25" spans="2:4" ht="15" x14ac:dyDescent="0.25">
      <c r="B25" s="190" t="s">
        <v>158</v>
      </c>
      <c r="C25" s="219"/>
      <c r="D25" s="191"/>
    </row>
    <row r="29" spans="2:4" x14ac:dyDescent="0.2">
      <c r="B29" s="164"/>
      <c r="C29" s="164"/>
      <c r="D29" s="164"/>
    </row>
    <row r="30" spans="2:4" x14ac:dyDescent="0.2">
      <c r="B30" s="164"/>
      <c r="C30" s="164"/>
      <c r="D30" s="164"/>
    </row>
    <row r="31" spans="2:4" x14ac:dyDescent="0.2">
      <c r="B31" s="164"/>
      <c r="C31" s="164"/>
      <c r="D31" s="164"/>
    </row>
    <row r="32" spans="2:4" ht="15.75" thickBot="1" x14ac:dyDescent="0.3">
      <c r="B32" s="238" t="s">
        <v>223</v>
      </c>
      <c r="C32" s="239"/>
      <c r="D32" s="240"/>
    </row>
    <row r="33" spans="2:4" x14ac:dyDescent="0.2">
      <c r="B33" s="236"/>
      <c r="C33" s="236"/>
      <c r="D33" s="236"/>
    </row>
    <row r="34" spans="2:4" x14ac:dyDescent="0.2">
      <c r="B34" s="236"/>
      <c r="C34" s="236"/>
      <c r="D34" s="236"/>
    </row>
    <row r="35" spans="2:4" x14ac:dyDescent="0.2">
      <c r="B35" s="236"/>
      <c r="C35" s="236"/>
      <c r="D35" s="236"/>
    </row>
    <row r="36" spans="2:4" x14ac:dyDescent="0.2">
      <c r="B36" s="236"/>
      <c r="C36" s="236"/>
      <c r="D36" s="236"/>
    </row>
    <row r="37" spans="2:4" x14ac:dyDescent="0.2">
      <c r="B37" s="236"/>
      <c r="C37" s="236"/>
      <c r="D37" s="236"/>
    </row>
    <row r="38" spans="2:4" x14ac:dyDescent="0.2">
      <c r="B38" s="236"/>
      <c r="C38" s="236"/>
      <c r="D38" s="236"/>
    </row>
    <row r="39" spans="2:4" x14ac:dyDescent="0.2">
      <c r="B39" s="164"/>
      <c r="C39" s="164"/>
      <c r="D39" s="164"/>
    </row>
    <row r="40" spans="2:4" ht="15" x14ac:dyDescent="0.25">
      <c r="B40" s="192" t="s">
        <v>143</v>
      </c>
      <c r="C40" s="230"/>
      <c r="D40" s="189" t="s">
        <v>3</v>
      </c>
    </row>
    <row r="41" spans="2:4" ht="15" x14ac:dyDescent="0.25">
      <c r="B41" s="192" t="s">
        <v>141</v>
      </c>
      <c r="C41" s="225"/>
      <c r="D41" s="189" t="s">
        <v>3</v>
      </c>
    </row>
    <row r="42" spans="2:4" ht="15" x14ac:dyDescent="0.25">
      <c r="B42" s="192" t="s">
        <v>51</v>
      </c>
      <c r="C42" s="230"/>
      <c r="D42" s="189" t="s">
        <v>3</v>
      </c>
    </row>
    <row r="43" spans="2:4" ht="15" x14ac:dyDescent="0.25">
      <c r="B43" s="192" t="s">
        <v>50</v>
      </c>
      <c r="C43" s="230"/>
      <c r="D43" s="189" t="s">
        <v>3</v>
      </c>
    </row>
    <row r="44" spans="2:4" x14ac:dyDescent="0.2">
      <c r="B44" s="164"/>
      <c r="C44" s="164"/>
      <c r="D44" s="164"/>
    </row>
    <row r="45" spans="2:4" x14ac:dyDescent="0.2">
      <c r="B45" s="164"/>
      <c r="C45" s="164"/>
      <c r="D45" s="164"/>
    </row>
    <row r="46" spans="2:4" x14ac:dyDescent="0.2">
      <c r="B46" s="164"/>
      <c r="C46" s="164"/>
      <c r="D46" s="164"/>
    </row>
    <row r="47" spans="2:4" x14ac:dyDescent="0.2">
      <c r="B47" s="164"/>
      <c r="C47" s="164"/>
      <c r="D47" s="164"/>
    </row>
    <row r="48" spans="2:4" x14ac:dyDescent="0.2">
      <c r="B48" s="164"/>
      <c r="C48" s="164"/>
      <c r="D48" s="164"/>
    </row>
    <row r="49" spans="2:4" ht="15" x14ac:dyDescent="0.25">
      <c r="B49" s="192" t="s">
        <v>213</v>
      </c>
      <c r="C49" s="229"/>
      <c r="D49" s="189" t="s">
        <v>5</v>
      </c>
    </row>
    <row r="50" spans="2:4" ht="15" x14ac:dyDescent="0.25">
      <c r="B50" s="192" t="s">
        <v>207</v>
      </c>
      <c r="C50" s="229"/>
      <c r="D50" s="189" t="s">
        <v>5</v>
      </c>
    </row>
    <row r="51" spans="2:4" ht="15" x14ac:dyDescent="0.25">
      <c r="B51" s="187" t="s">
        <v>132</v>
      </c>
      <c r="C51" s="199"/>
      <c r="D51" s="189"/>
    </row>
    <row r="52" spans="2:4" ht="15" x14ac:dyDescent="0.25">
      <c r="B52" s="192" t="s">
        <v>161</v>
      </c>
      <c r="C52" s="225"/>
      <c r="D52" s="189" t="s">
        <v>5</v>
      </c>
    </row>
    <row r="53" spans="2:4" ht="15" x14ac:dyDescent="0.25">
      <c r="B53" s="193" t="s">
        <v>162</v>
      </c>
      <c r="C53" s="194"/>
      <c r="D53" s="191" t="s">
        <v>5</v>
      </c>
    </row>
    <row r="54" spans="2:4" ht="15" x14ac:dyDescent="0.25">
      <c r="B54" s="192" t="s">
        <v>192</v>
      </c>
      <c r="C54" s="225"/>
      <c r="D54" s="189" t="s">
        <v>59</v>
      </c>
    </row>
    <row r="55" spans="2:4" ht="15" x14ac:dyDescent="0.25">
      <c r="B55" s="193" t="s">
        <v>127</v>
      </c>
      <c r="C55" s="237"/>
      <c r="D55" s="191" t="s">
        <v>5</v>
      </c>
    </row>
    <row r="56" spans="2:4" ht="15" x14ac:dyDescent="0.25">
      <c r="B56" s="233" t="s">
        <v>150</v>
      </c>
      <c r="C56" s="198"/>
      <c r="D56" s="235" t="s">
        <v>2</v>
      </c>
    </row>
    <row r="57" spans="2:4" ht="15" x14ac:dyDescent="0.25">
      <c r="B57" s="187" t="s">
        <v>159</v>
      </c>
      <c r="C57" s="188"/>
      <c r="D57" s="189"/>
    </row>
    <row r="58" spans="2:4" ht="15" x14ac:dyDescent="0.25">
      <c r="B58" s="187" t="s">
        <v>199</v>
      </c>
      <c r="C58" s="188" t="s">
        <v>212</v>
      </c>
      <c r="D58" s="189"/>
    </row>
    <row r="59" spans="2:4" ht="15" x14ac:dyDescent="0.25">
      <c r="B59" s="190" t="s">
        <v>158</v>
      </c>
      <c r="C59" s="219"/>
      <c r="D59" s="191"/>
    </row>
    <row r="60" spans="2:4" x14ac:dyDescent="0.2">
      <c r="B60" s="236"/>
      <c r="C60" s="236"/>
      <c r="D60" s="236"/>
    </row>
    <row r="61" spans="2:4" x14ac:dyDescent="0.2">
      <c r="B61" s="236"/>
      <c r="C61" s="236"/>
      <c r="D61" s="236"/>
    </row>
  </sheetData>
  <dataValidations count="3">
    <dataValidation type="list" allowBlank="1" showInputMessage="1" showErrorMessage="1" sqref="C23 C57" xr:uid="{00000000-0002-0000-0400-000000000000}">
      <formula1>"a,b,c,d,e,f,g,h,i,j,"</formula1>
    </dataValidation>
    <dataValidation type="list" allowBlank="1" showInputMessage="1" showErrorMessage="1" sqref="C24 C58" xr:uid="{00000000-0002-0000-0400-000001000000}">
      <formula1>"Ja,Nei"</formula1>
    </dataValidation>
    <dataValidation type="list" allowBlank="1" showInputMessage="1" showErrorMessage="1" sqref="C25 C59" xr:uid="{00000000-0002-0000-0400-000002000000}">
      <formula1>"1,2,3,4,5,"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9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0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10</vt:i4>
      </vt:variant>
    </vt:vector>
  </HeadingPairs>
  <TitlesOfParts>
    <vt:vector size="32" baseType="lpstr">
      <vt:lpstr>tilbud</vt:lpstr>
      <vt:lpstr>Utslag</vt:lpstr>
      <vt:lpstr>Ark5</vt:lpstr>
      <vt:lpstr>Satser</vt:lpstr>
      <vt:lpstr>Ark18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Ark19</vt:lpstr>
      <vt:lpstr>Ark20</vt:lpstr>
      <vt:lpstr>AK_korn3</vt:lpstr>
      <vt:lpstr>AKkorn2</vt:lpstr>
      <vt:lpstr>dismelk</vt:lpstr>
      <vt:lpstr>distrmelk</vt:lpstr>
      <vt:lpstr>Dmelk</vt:lpstr>
      <vt:lpstr>innm</vt:lpstr>
      <vt:lpstr>melk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Anders Huus</cp:lastModifiedBy>
  <cp:lastPrinted>2022-05-16T06:23:26Z</cp:lastPrinted>
  <dcterms:created xsi:type="dcterms:W3CDTF">2000-05-18T12:37:17Z</dcterms:created>
  <dcterms:modified xsi:type="dcterms:W3CDTF">2022-05-23T09:52:04Z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