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bondelaget-my.sharepoint.com/personal/siv_iren_amodt_moe_bondelaget_no/Documents/Skrivebord/"/>
    </mc:Choice>
  </mc:AlternateContent>
  <xr:revisionPtr revIDLastSave="0" documentId="8_{0011C727-3BDF-4299-B6F8-B5BDA8C0914C}" xr6:coauthVersionLast="47" xr6:coauthVersionMax="47" xr10:uidLastSave="{00000000-0000-0000-0000-000000000000}"/>
  <bookViews>
    <workbookView xWindow="-120" yWindow="-120" windowWidth="29040" windowHeight="15720" tabRatio="601" firstSheet="1" activeTab="1" xr2:uid="{00000000-000D-0000-FFFF-FFFF00000000}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Satser!$B$3:$J$9</definedName>
    <definedName name="arealtilsk">Satser!#REF!</definedName>
    <definedName name="Avlsgris">Satser!#REF!</definedName>
    <definedName name="dismelk">tilbud!$N$24:$O$33</definedName>
    <definedName name="distrmelk">Satser!$N$93</definedName>
    <definedName name="DKfrukt">Satser!#REF!</definedName>
    <definedName name="Dmelk">Satser!$L$90:$X$91</definedName>
    <definedName name="Grovfor">Satser!#REF!</definedName>
    <definedName name="Grovfor2">Satser!#REF!</definedName>
    <definedName name="innm">tilbud!$L$3:$R$5</definedName>
    <definedName name="melk">Satser!$M$90:$Y$91</definedName>
    <definedName name="nyttak">Satser!$A$47:$J$49</definedName>
    <definedName name="pleie">Satser!$A$25:$J$29</definedName>
    <definedName name="_xlnm.Print_Area" localSheetId="1">Utslag!$A$1:$F$73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Utslag!$A$1:$F$73</definedName>
    <definedName name="Z_CCA592C6_FA5B_4C3F_AAFD_7D399E08D11C_.wvu.Rows" localSheetId="1" hidden="1">Utslag!$127:$127,Utslag!#REF!</definedName>
    <definedName name="økohusd">Satser!#REF!</definedName>
    <definedName name="Økologisk">Satser!#REF!</definedName>
  </definedNames>
  <calcPr calcId="191029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3" i="3" l="1"/>
  <c r="E71" i="3" l="1"/>
  <c r="F49" i="2"/>
  <c r="M54" i="3"/>
  <c r="N62" i="3" s="1"/>
  <c r="N61" i="3"/>
  <c r="N59" i="3"/>
  <c r="A7" i="2"/>
  <c r="G10" i="3"/>
  <c r="F56" i="2"/>
  <c r="E63" i="3"/>
  <c r="H63" i="3" s="1"/>
  <c r="E61" i="3"/>
  <c r="H61" i="3" s="1"/>
  <c r="F45" i="2"/>
  <c r="E45" i="3"/>
  <c r="E44" i="3"/>
  <c r="F20" i="2"/>
  <c r="F63" i="3" l="1"/>
  <c r="F61" i="3"/>
  <c r="N93" i="3" l="1"/>
  <c r="F39" i="2"/>
  <c r="F38" i="2"/>
  <c r="F37" i="2"/>
  <c r="F36" i="2"/>
  <c r="F12" i="2"/>
  <c r="F32" i="2"/>
  <c r="F8" i="2"/>
  <c r="B11" i="2"/>
  <c r="B9" i="2"/>
  <c r="M105" i="3"/>
  <c r="M106" i="3"/>
  <c r="M107" i="3"/>
  <c r="M104" i="3"/>
  <c r="F60" i="2"/>
  <c r="F59" i="2"/>
  <c r="E115" i="3"/>
  <c r="H115" i="3" s="1"/>
  <c r="E41" i="3"/>
  <c r="M93" i="3"/>
  <c r="C13" i="3"/>
  <c r="O93" i="3" l="1"/>
  <c r="N58" i="3" s="1"/>
  <c r="M110" i="3"/>
  <c r="F57" i="2" s="1"/>
  <c r="F61" i="2" s="1"/>
  <c r="F115" i="3"/>
  <c r="F40" i="2" l="1"/>
  <c r="F31" i="2"/>
  <c r="F7" i="2"/>
  <c r="F19" i="2" l="1"/>
  <c r="F18" i="2" l="1"/>
  <c r="F34" i="2"/>
  <c r="F33" i="2"/>
  <c r="F16" i="2"/>
  <c r="F15" i="2"/>
  <c r="F14" i="2"/>
  <c r="F13" i="2"/>
  <c r="F10" i="2"/>
  <c r="F9" i="2"/>
  <c r="F41" i="2" l="1"/>
  <c r="N37" i="3" l="1"/>
  <c r="N36" i="3"/>
  <c r="N35" i="3"/>
  <c r="N34" i="3"/>
  <c r="N33" i="3"/>
  <c r="N32" i="3"/>
  <c r="M32" i="3"/>
  <c r="E46" i="3"/>
  <c r="H45" i="3"/>
  <c r="O32" i="3" l="1"/>
  <c r="F45" i="3"/>
  <c r="F73" i="3" l="1"/>
  <c r="H73" i="3" l="1"/>
  <c r="H38" i="3" l="1"/>
  <c r="M33" i="3"/>
  <c r="M34" i="3"/>
  <c r="M35" i="3"/>
  <c r="M36" i="3"/>
  <c r="M37" i="3"/>
  <c r="N31" i="3"/>
  <c r="F38" i="3" l="1"/>
  <c r="O35" i="3"/>
  <c r="O36" i="3"/>
  <c r="O37" i="3"/>
  <c r="O33" i="3"/>
  <c r="O34" i="3"/>
  <c r="F17" i="2" l="1"/>
  <c r="E130" i="3" l="1"/>
  <c r="E112" i="3"/>
  <c r="E109" i="3"/>
  <c r="E106" i="3"/>
  <c r="E68" i="3"/>
  <c r="F68" i="3" s="1"/>
  <c r="E32" i="3"/>
  <c r="F32" i="3" s="1"/>
  <c r="E31" i="3"/>
  <c r="H31" i="3" s="1"/>
  <c r="E33" i="3"/>
  <c r="H33" i="3" s="1"/>
  <c r="A9" i="2"/>
  <c r="H68" i="3" l="1"/>
  <c r="H32" i="3"/>
  <c r="F31" i="3"/>
  <c r="F33" i="3"/>
  <c r="N50" i="3"/>
  <c r="E69" i="3" l="1"/>
  <c r="N43" i="3"/>
  <c r="F48" i="2" s="1"/>
  <c r="M31" i="3" l="1"/>
  <c r="M38" i="3" s="1"/>
  <c r="D14" i="3"/>
  <c r="O31" i="3" l="1"/>
  <c r="O38" i="3" s="1"/>
  <c r="N60" i="3" s="1"/>
  <c r="N63" i="3" s="1"/>
  <c r="F42" i="2" s="1"/>
  <c r="D13" i="3"/>
  <c r="F75" i="3" l="1"/>
  <c r="F74" i="3"/>
  <c r="F72" i="3"/>
  <c r="H71" i="3"/>
  <c r="F54" i="3"/>
  <c r="F70" i="3"/>
  <c r="H70" i="3"/>
  <c r="F69" i="3"/>
  <c r="H69" i="3"/>
  <c r="E188" i="3"/>
  <c r="H188" i="3" s="1"/>
  <c r="E189" i="3"/>
  <c r="H189" i="3" s="1"/>
  <c r="E190" i="3"/>
  <c r="H190" i="3" s="1"/>
  <c r="E191" i="3"/>
  <c r="H191" i="3" s="1"/>
  <c r="E192" i="3"/>
  <c r="H192" i="3" s="1"/>
  <c r="E193" i="3"/>
  <c r="H193" i="3" s="1"/>
  <c r="E194" i="3"/>
  <c r="H194" i="3" s="1"/>
  <c r="E195" i="3"/>
  <c r="E196" i="3"/>
  <c r="E197" i="3"/>
  <c r="H197" i="3" s="1"/>
  <c r="E187" i="3"/>
  <c r="H187" i="3" s="1"/>
  <c r="H198" i="3" l="1"/>
  <c r="J187" i="3" s="1"/>
  <c r="H75" i="3"/>
  <c r="H74" i="3"/>
  <c r="H72" i="3"/>
  <c r="F71" i="3"/>
  <c r="F46" i="2" l="1"/>
  <c r="C86" i="3"/>
  <c r="D86" i="3"/>
  <c r="E86" i="3" l="1"/>
  <c r="E49" i="3"/>
  <c r="E48" i="3"/>
  <c r="E40" i="3"/>
  <c r="E37" i="3"/>
  <c r="E34" i="3"/>
  <c r="E30" i="3"/>
  <c r="E28" i="3"/>
  <c r="E29" i="3"/>
  <c r="J16" i="3"/>
  <c r="J10" i="3"/>
  <c r="E10" i="3"/>
  <c r="F10" i="3"/>
  <c r="H10" i="3"/>
  <c r="I10" i="3"/>
  <c r="D10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103" i="3" l="1"/>
  <c r="E101" i="3"/>
  <c r="E98" i="3"/>
  <c r="E95" i="3"/>
  <c r="E92" i="3"/>
  <c r="H123" i="2" l="1"/>
  <c r="K16" i="3"/>
  <c r="L16" i="3"/>
  <c r="M16" i="3"/>
  <c r="N16" i="3"/>
  <c r="L18" i="3" s="1"/>
  <c r="O16" i="3"/>
  <c r="M6" i="3" s="1"/>
  <c r="P16" i="3"/>
  <c r="E206" i="3" l="1"/>
  <c r="D206" i="3"/>
  <c r="D207" i="3"/>
  <c r="H34" i="3" l="1"/>
  <c r="I222" i="3"/>
  <c r="E203" i="3"/>
  <c r="D204" i="3"/>
  <c r="F34" i="3" l="1"/>
  <c r="E210" i="3" l="1"/>
  <c r="D203" i="3"/>
  <c r="M2" i="3"/>
  <c r="M3" i="3"/>
  <c r="M5" i="3" s="1"/>
  <c r="F28" i="3"/>
  <c r="J28" i="3"/>
  <c r="H29" i="3"/>
  <c r="J29" i="3"/>
  <c r="F30" i="3"/>
  <c r="J34" i="3"/>
  <c r="H37" i="3"/>
  <c r="H40" i="3"/>
  <c r="H41" i="3"/>
  <c r="J232" i="3"/>
  <c r="K232" i="3" s="1"/>
  <c r="K233" i="3"/>
  <c r="L233" i="3"/>
  <c r="H44" i="3"/>
  <c r="H46" i="3"/>
  <c r="H48" i="3"/>
  <c r="F49" i="3"/>
  <c r="H52" i="3"/>
  <c r="H57" i="3"/>
  <c r="F58" i="3"/>
  <c r="H58" i="3"/>
  <c r="C157" i="3"/>
  <c r="C159" i="3" s="1"/>
  <c r="C161" i="3" s="1"/>
  <c r="C158" i="3"/>
  <c r="C163" i="3" s="1"/>
  <c r="F112" i="3"/>
  <c r="H130" i="3"/>
  <c r="F210" i="3"/>
  <c r="H210" i="3"/>
  <c r="E211" i="3"/>
  <c r="F211" i="3"/>
  <c r="H211" i="3"/>
  <c r="C246" i="3"/>
  <c r="C248" i="3" s="1"/>
  <c r="H5" i="2"/>
  <c r="H126" i="2"/>
  <c r="H125" i="2"/>
  <c r="H127" i="2"/>
  <c r="H12" i="2"/>
  <c r="H13" i="2"/>
  <c r="H16" i="2"/>
  <c r="H17" i="2"/>
  <c r="H22" i="2"/>
  <c r="H24" i="2"/>
  <c r="H34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G128" i="1" s="1"/>
  <c r="F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C258" i="1" s="1"/>
  <c r="D167" i="1"/>
  <c r="C262" i="1" s="1"/>
  <c r="D170" i="1"/>
  <c r="C266" i="1" s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B262" i="1"/>
  <c r="E167" i="1" s="1"/>
  <c r="B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G102" i="1" l="1"/>
  <c r="F104" i="1"/>
  <c r="H296" i="1"/>
  <c r="C14" i="3"/>
  <c r="E14" i="3" s="1"/>
  <c r="E91" i="1"/>
  <c r="F91" i="1" s="1"/>
  <c r="G126" i="1"/>
  <c r="G91" i="1"/>
  <c r="D245" i="1"/>
  <c r="E246" i="1" s="1"/>
  <c r="E282" i="1" s="1"/>
  <c r="D210" i="1" s="1"/>
  <c r="G131" i="1"/>
  <c r="G111" i="1"/>
  <c r="F105" i="1"/>
  <c r="E53" i="1"/>
  <c r="M7" i="3"/>
  <c r="H112" i="2"/>
  <c r="E35" i="1"/>
  <c r="G117" i="1"/>
  <c r="F117" i="1"/>
  <c r="E122" i="1"/>
  <c r="F122" i="1" s="1"/>
  <c r="G103" i="1"/>
  <c r="E71" i="1"/>
  <c r="E27" i="1"/>
  <c r="H18" i="2"/>
  <c r="G133" i="1"/>
  <c r="E34" i="1"/>
  <c r="E32" i="1"/>
  <c r="F40" i="3"/>
  <c r="D266" i="1"/>
  <c r="E267" i="1" s="1"/>
  <c r="D258" i="1"/>
  <c r="E259" i="1" s="1"/>
  <c r="D246" i="1"/>
  <c r="E36" i="1"/>
  <c r="E31" i="1"/>
  <c r="F57" i="3"/>
  <c r="F103" i="3"/>
  <c r="H103" i="3"/>
  <c r="G157" i="1"/>
  <c r="F157" i="1"/>
  <c r="G110" i="1"/>
  <c r="E98" i="1"/>
  <c r="D271" i="1"/>
  <c r="E272" i="1" s="1"/>
  <c r="E95" i="1"/>
  <c r="E33" i="1"/>
  <c r="E25" i="1"/>
  <c r="D279" i="1"/>
  <c r="E280" i="1" s="1"/>
  <c r="D210" i="3"/>
  <c r="I210" i="3" s="1"/>
  <c r="F130" i="3"/>
  <c r="E109" i="1"/>
  <c r="E70" i="1"/>
  <c r="D250" i="1"/>
  <c r="E251" i="1" s="1"/>
  <c r="F111" i="1"/>
  <c r="G132" i="1"/>
  <c r="E30" i="1"/>
  <c r="C29" i="1"/>
  <c r="E29" i="1" s="1"/>
  <c r="E26" i="1"/>
  <c r="E24" i="1"/>
  <c r="D211" i="3"/>
  <c r="I211" i="3" s="1"/>
  <c r="D255" i="1"/>
  <c r="C22" i="1"/>
  <c r="C23" i="1" s="1"/>
  <c r="E23" i="1" s="1"/>
  <c r="E18" i="3"/>
  <c r="F41" i="3"/>
  <c r="F37" i="3"/>
  <c r="L232" i="3"/>
  <c r="E16" i="3"/>
  <c r="E15" i="3"/>
  <c r="F44" i="3"/>
  <c r="F52" i="3"/>
  <c r="J49" i="3"/>
  <c r="H49" i="3"/>
  <c r="H30" i="3"/>
  <c r="F95" i="3"/>
  <c r="H95" i="3"/>
  <c r="F106" i="3"/>
  <c r="H106" i="3"/>
  <c r="H98" i="3"/>
  <c r="F98" i="3"/>
  <c r="H54" i="3"/>
  <c r="F48" i="3"/>
  <c r="H112" i="3"/>
  <c r="E19" i="3"/>
  <c r="J48" i="3"/>
  <c r="F29" i="3"/>
  <c r="F46" i="3"/>
  <c r="H28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G122" i="1" l="1"/>
  <c r="E20" i="3"/>
  <c r="F43" i="2" s="1"/>
  <c r="H76" i="3"/>
  <c r="I199" i="3"/>
  <c r="H35" i="2"/>
  <c r="F76" i="3"/>
  <c r="E22" i="1"/>
  <c r="E37" i="1" s="1"/>
  <c r="H32" i="2" s="1"/>
  <c r="G95" i="1"/>
  <c r="F95" i="1"/>
  <c r="G109" i="1"/>
  <c r="F109" i="1"/>
  <c r="G98" i="1"/>
  <c r="F98" i="1"/>
  <c r="D212" i="3"/>
  <c r="E212" i="3"/>
  <c r="F212" i="3"/>
  <c r="H212" i="3"/>
  <c r="H92" i="3"/>
  <c r="F92" i="3"/>
  <c r="F101" i="3"/>
  <c r="H101" i="3"/>
  <c r="F109" i="3"/>
  <c r="H109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C80" i="3" l="1"/>
  <c r="F78" i="3"/>
  <c r="C83" i="3"/>
  <c r="C82" i="3"/>
  <c r="C81" i="3"/>
  <c r="H78" i="3"/>
  <c r="F138" i="3"/>
  <c r="J82" i="3"/>
  <c r="I212" i="3"/>
  <c r="I213" i="3" s="1"/>
  <c r="I221" i="3" s="1"/>
  <c r="H138" i="3"/>
  <c r="C203" i="1"/>
  <c r="C207" i="1" s="1"/>
  <c r="H33" i="2" s="1"/>
  <c r="C206" i="1"/>
  <c r="C205" i="1"/>
  <c r="C204" i="1"/>
  <c r="G33" i="2" s="1"/>
  <c r="E19" i="2" l="1"/>
  <c r="C145" i="3"/>
  <c r="C144" i="3"/>
  <c r="C143" i="3"/>
  <c r="C84" i="3"/>
  <c r="D88" i="3"/>
  <c r="C142" i="3"/>
  <c r="C166" i="3"/>
  <c r="F44" i="2" l="1"/>
  <c r="C146" i="3"/>
  <c r="C165" i="3"/>
  <c r="C164" i="3"/>
  <c r="C167" i="3"/>
  <c r="C168" i="3"/>
  <c r="F47" i="2" l="1"/>
  <c r="F51" i="2" s="1"/>
  <c r="F52" i="2" s="1"/>
  <c r="F62" i="2" s="1"/>
  <c r="J81" i="3"/>
  <c r="J83" i="3"/>
  <c r="J80" i="3"/>
  <c r="F63" i="2" l="1"/>
  <c r="F64" i="2" s="1"/>
  <c r="F65" i="2" s="1"/>
  <c r="J84" i="3"/>
  <c r="F21" i="2"/>
  <c r="F22" i="2" s="1"/>
  <c r="F23" i="2" l="1"/>
  <c r="F24" i="2" s="1"/>
  <c r="F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Margrete Johnsen</author>
    <author>BrukerBondelaget</author>
  </authors>
  <commentList>
    <comment ref="E5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206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J233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<sst xmlns="http://schemas.openxmlformats.org/spreadsheetml/2006/main" count="870" uniqueCount="376">
  <si>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</si>
  <si>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</si>
  <si>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</si>
  <si>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</si>
  <si>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</si>
  <si>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</si>
  <si>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</si>
  <si>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</si>
  <si>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</si>
  <si>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</si>
  <si>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</si>
  <si>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</si>
  <si>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</si>
  <si>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</si>
  <si>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</si>
  <si>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</si>
  <si>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</si>
  <si>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</si>
  <si>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</si>
  <si>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</si>
  <si>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</si>
  <si>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</si>
  <si>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</si>
  <si>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</si>
  <si>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</si>
  <si>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</si>
  <si>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</si>
  <si>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</si>
  <si>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</si>
  <si>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</si>
  <si>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</si>
  <si>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</si>
  <si>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</si>
  <si>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</si>
  <si>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</si>
  <si>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</si>
  <si>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</si>
  <si>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</si>
  <si>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</si>
  <si>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</si>
  <si>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</si>
  <si>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</si>
  <si>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</si>
  <si>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</si>
  <si>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</si>
  <si>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</si>
  <si>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</si>
  <si>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</si>
  <si>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</si>
  <si>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</si>
  <si>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</si>
  <si>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</si>
  <si>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</si>
  <si>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</si>
  <si>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</si>
  <si>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</si>
  <si>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</si>
  <si>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</si>
  <si>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</si>
  <si>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</si>
  <si>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</si>
  <si>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</si>
  <si>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</si>
  <si>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</si>
  <si>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</si>
  <si>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</si>
  <si>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</si>
  <si>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</si>
  <si>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</si>
  <si>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</si>
  <si>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</si>
  <si>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</si>
  <si>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</si>
  <si>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</si>
  <si>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</si>
  <si>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</si>
  <si>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</si>
  <si>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</si>
  <si>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</si>
  <si>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</si>
  <si>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</si>
  <si>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</si>
  <si>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</si>
  <si>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</si>
  <si>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</si>
  <si>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</si>
  <si>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</si>
  <si>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</si>
  <si>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</si>
  <si>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</si>
  <si>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</si>
  <si>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</si>
  <si>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</si>
  <si>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</si>
  <si>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</si>
  <si>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</si>
  <si>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</si>
  <si>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</si>
  <si>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</si>
  <si>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</si>
  <si>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</si>
  <si>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</si>
  <si>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</si>
  <si>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</si>
  <si>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</si>
  <si>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</si>
  <si>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</si>
  <si>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</si>
  <si>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</si>
  <si>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</si>
  <si>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</si>
  <si>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</si>
  <si>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</si>
  <si>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</si>
  <si>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</si>
  <si>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</si>
  <si>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</si>
  <si>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</si>
  <si>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</si>
  <si>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</si>
  <si>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</si>
  <si>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</si>
  <si>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</si>
  <si>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</si>
  <si>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</si>
  <si>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</si>
  <si>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</si>
  <si>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</si>
  <si>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</si>
  <si>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</si>
  <si>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</si>
  <si>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</si>
  <si>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</si>
  <si>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</si>
  <si>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</si>
  <si>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</si>
  <si>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</si>
  <si>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</si>
  <si>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</si>
  <si>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</si>
  <si>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</si>
  <si>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</si>
  <si>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</si>
  <si>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</si>
  <si>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</si>
  <si>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</si>
  <si>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</si>
  <si>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</si>
  <si>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</si>
  <si>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</si>
  <si>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</si>
  <si>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</si>
  <si>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</si>
  <si>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</si>
  <si>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</si>
  <si>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</si>
  <si>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</si>
  <si>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</si>
  <si>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</si>
  <si>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</si>
  <si>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</si>
  <si>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</si>
  <si>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</si>
  <si>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</si>
  <si>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</si>
  <si>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</si>
  <si>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</si>
  <si>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</si>
  <si>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</si>
  <si>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</si>
  <si>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</si>
  <si>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</si>
  <si>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</si>
  <si>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</si>
  <si>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</si>
  <si>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</si>
  <si>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</si>
  <si>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</si>
  <si>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</si>
  <si>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</si>
  <si>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</si>
  <si>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</si>
  <si>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</si>
  <si>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</si>
  <si>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</si>
  <si>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</si>
  <si>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</si>
  <si>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</si>
  <si>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</si>
  <si>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</si>
  <si>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</si>
  <si>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</si>
  <si>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</si>
  <si>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</si>
  <si>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</si>
  <si>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</si>
  <si>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</si>
  <si>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</si>
  <si>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</si>
  <si>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</si>
  <si>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</si>
  <si>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</si>
  <si>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t xml:space="preserve">NB! NB! DETTE UTSLAGET ER IKKE DET SAMME SOM ØKT INNTEKT !!! 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</si>
  <si>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</si>
  <si>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</si>
  <si>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</si>
  <si>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</si>
  <si>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</si>
  <si>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</si>
  <si>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</si>
  <si>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</si>
  <si>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</si>
  <si>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</si>
  <si>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</si>
  <si>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</si>
  <si>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</si>
  <si>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</si>
  <si>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</si>
  <si>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</si>
  <si>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</si>
  <si>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</si>
  <si>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</si>
  <si>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</si>
  <si>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</si>
  <si>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Kraftfôrmengde</t>
  </si>
  <si>
    <t>Andre driftskostnader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</si>
  <si>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</si>
  <si>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</si>
  <si>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</si>
  <si>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</si>
  <si>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</si>
  <si>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</si>
  <si>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</si>
  <si>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</si>
  <si>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</si>
  <si>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</si>
  <si>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</si>
  <si>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</si>
  <si>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</si>
  <si>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</si>
  <si>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</si>
  <si>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 xml:space="preserve"> - Storfe</t>
  </si>
  <si>
    <t>Matkorn (hvete)</t>
  </si>
  <si>
    <t>Matkorn (rug)</t>
  </si>
  <si>
    <t>Bygg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</si>
  <si>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</si>
  <si>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</si>
  <si>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</si>
  <si>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</si>
  <si>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</si>
  <si>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>Bevaringsverdige husdyrraser:</t>
  </si>
  <si>
    <t xml:space="preserve">Distriktstilskudd melk </t>
  </si>
  <si>
    <t>Driftstilskudd melk</t>
  </si>
  <si>
    <t>Antall</t>
  </si>
  <si>
    <t>Kyr, storfe, hest på beite (Minst16/12 uker)</t>
  </si>
  <si>
    <t>Sau, lam, geit på beite (Minst 16/12 uker)</t>
  </si>
  <si>
    <t>Beitetilskudd/Utmarksbeitetilskudd</t>
  </si>
  <si>
    <t>Driftstilskudd ammeku</t>
  </si>
  <si>
    <t>2) Følgende større elementer er ikke tatt med i utslagsberegningene:</t>
  </si>
  <si>
    <t>1-14 dyr</t>
  </si>
  <si>
    <t>15-30 dyr</t>
  </si>
  <si>
    <t>31-50 dyr</t>
  </si>
  <si>
    <t>Bunnfradrag</t>
  </si>
  <si>
    <t>Rentekostnader</t>
  </si>
  <si>
    <t>Bruttoinntekter av frukt og grønt</t>
  </si>
  <si>
    <t>Matkorn, hvete og rug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</si>
  <si>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</si>
  <si>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</si>
  <si>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</si>
  <si>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</si>
  <si>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</si>
  <si>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</si>
  <si>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</si>
  <si>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</si>
  <si>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</si>
  <si>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</si>
  <si>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Tilskudd små og mellomstore melkebruk</t>
  </si>
  <si>
    <t>Kastrat</t>
  </si>
  <si>
    <t>Spælsau</t>
  </si>
  <si>
    <t>Gjeld (næring)</t>
  </si>
  <si>
    <t>Årlig arbeidsforbruk på gårdsbruket</t>
  </si>
  <si>
    <t>timer/år</t>
  </si>
  <si>
    <r>
      <t xml:space="preserve">Kostnader  </t>
    </r>
    <r>
      <rPr>
        <b/>
        <sz val="11"/>
        <color rgb="FFFF0000"/>
        <rFont val="Arial"/>
        <family val="2"/>
      </rPr>
      <t>(NB MÅ LEGGES INN)</t>
    </r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</si>
  <si>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</si>
  <si>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Utslag omregnet i kroner pr time</t>
  </si>
  <si>
    <t>151+</t>
  </si>
  <si>
    <t>Omsatt mengde pressfrukt</t>
  </si>
  <si>
    <t>Pressfrukt</t>
  </si>
  <si>
    <t>Utslag i 2022</t>
  </si>
  <si>
    <t>Gris, forventet prisvekst</t>
  </si>
  <si>
    <t>3,3%</t>
  </si>
  <si>
    <t>11,8%</t>
  </si>
  <si>
    <t>Kompensasjon</t>
  </si>
  <si>
    <t>Distrikt frukt bær</t>
  </si>
  <si>
    <t>Agurk</t>
  </si>
  <si>
    <t>Rugeegg</t>
  </si>
  <si>
    <t>Kalkun</t>
  </si>
  <si>
    <t>Bifolk</t>
  </si>
  <si>
    <t>Inntektsutslag av Jordbruksavtalen 2022-2023</t>
  </si>
  <si>
    <t>Inntekt og kompensasjon i 2022</t>
  </si>
  <si>
    <t>Rugegg</t>
  </si>
  <si>
    <t>egg</t>
  </si>
  <si>
    <t>Kalkun, gjess, ender</t>
  </si>
  <si>
    <t>slakt</t>
  </si>
  <si>
    <t>Sau født foregående år, ammegeit</t>
  </si>
  <si>
    <t>Arealtilskudd</t>
  </si>
  <si>
    <r>
      <t>SUM KOMPENSASJON OG MERINNTEKT 2022</t>
    </r>
    <r>
      <rPr>
        <b/>
        <sz val="11"/>
        <color indexed="10"/>
        <rFont val="Arial"/>
        <family val="2"/>
      </rPr>
      <t xml:space="preserve"> 2)</t>
    </r>
  </si>
  <si>
    <t>Økt inntektseffekt av jordbruksfradraget</t>
  </si>
  <si>
    <t>Hva var næringsinntekta fra gården i 2021?</t>
  </si>
  <si>
    <t>Sammenlignet med 2022 før jordbruksavtalen.</t>
  </si>
  <si>
    <t>Utslag i 2023</t>
  </si>
  <si>
    <t>Økte målpriser fra 1/7-22</t>
  </si>
  <si>
    <t>Sum prisendringer</t>
  </si>
  <si>
    <t>Antatt prisøkning for ikke-målprisprodukter fra 1/7-22</t>
  </si>
  <si>
    <t>9,8%</t>
  </si>
  <si>
    <t>11,2%</t>
  </si>
  <si>
    <t>Distriktstilskudd kjøtt</t>
  </si>
  <si>
    <t>Sone for distriktstilskudd melk</t>
  </si>
  <si>
    <t>A</t>
  </si>
  <si>
    <t>Distriktstilskudd melk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</si>
  <si>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</si>
  <si>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</si>
  <si>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</si>
  <si>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</si>
  <si>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</si>
  <si>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</si>
  <si>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</si>
  <si>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</si>
  <si>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</si>
  <si>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Dmelk</t>
  </si>
  <si>
    <t>Melkevolum</t>
  </si>
  <si>
    <t>Storfe/sau</t>
  </si>
  <si>
    <t>Svin</t>
  </si>
  <si>
    <t>Sør Norge</t>
  </si>
  <si>
    <t>Nord Norge</t>
  </si>
  <si>
    <t>Landet</t>
  </si>
  <si>
    <t>Diesel, gass, strøm</t>
  </si>
  <si>
    <t>Forventet kostnadsvekst i 2023:</t>
  </si>
  <si>
    <t>Driftskostnader (Variable + Faste) ekskl. kraftfôr, gjødsel, strøm, diesel, gass og leid hjelp</t>
  </si>
  <si>
    <t>Gjødsel</t>
  </si>
  <si>
    <t>Gjødsel:</t>
  </si>
  <si>
    <t>Kvantum N-gjødsel</t>
  </si>
  <si>
    <t>Kvantum NPK-gjødsel</t>
  </si>
  <si>
    <t>Hvilken pris betalte du for N-gjødsel til årets sesong?</t>
  </si>
  <si>
    <t>Hvilken pris betalte du for NPK-gjødsel til årets sesong?</t>
  </si>
  <si>
    <t>kr/kg</t>
  </si>
  <si>
    <t>Kvantum NPK gjødsel</t>
  </si>
  <si>
    <t>Pris N-gjødsel</t>
  </si>
  <si>
    <t>Pris NPK-gjødsel</t>
  </si>
  <si>
    <t>Forutsatt pris N</t>
  </si>
  <si>
    <t>Forutsatt pris NPK</t>
  </si>
  <si>
    <t>Distriktstilskudd potet</t>
  </si>
  <si>
    <t>SUM UTSLAG 2023 ETTER KOSTNADSDEKKING</t>
  </si>
  <si>
    <r>
      <t>SUM UTSLAG 2023</t>
    </r>
    <r>
      <rPr>
        <b/>
        <sz val="11"/>
        <color indexed="10"/>
        <rFont val="Arial"/>
        <family val="2"/>
      </rPr>
      <t xml:space="preserve"> 2)</t>
    </r>
  </si>
  <si>
    <r>
      <t xml:space="preserve">Gjødselkostnader </t>
    </r>
    <r>
      <rPr>
        <vertAlign val="subscript"/>
        <sz val="11"/>
        <color rgb="FFFF0000"/>
        <rFont val="Arial"/>
        <family val="2"/>
      </rPr>
      <t>3)</t>
    </r>
  </si>
  <si>
    <t>* Mer skattelette pga økt inntekt, omregnet til inntekt før beskatning med 39,7 % marginalskatt</t>
  </si>
  <si>
    <t>UTSLAG INKL. EFFEKT AV JORDBRUKSFRADRAGET *</t>
  </si>
  <si>
    <t>Sammenlignet med økonomien i 2022 før jordbruksavtalen</t>
  </si>
  <si>
    <t>36 øre/liter</t>
  </si>
  <si>
    <t>90 til 100 øre/kg</t>
  </si>
  <si>
    <t>90 øre/kg</t>
  </si>
  <si>
    <t>15 %</t>
  </si>
  <si>
    <t xml:space="preserve"> * Økt bevilgning til RMP. 185 mill. kroner</t>
  </si>
  <si>
    <t xml:space="preserve"> 1-75</t>
  </si>
  <si>
    <t xml:space="preserve"> 76-150</t>
  </si>
  <si>
    <t>Verpehøner, landet 1001-7500</t>
  </si>
  <si>
    <t>25 øre/kg</t>
  </si>
  <si>
    <t>5A</t>
  </si>
  <si>
    <t>5B</t>
  </si>
  <si>
    <t>Distriktstilskudd egg</t>
  </si>
  <si>
    <t>-</t>
  </si>
  <si>
    <t>Sum distriktstilskudd</t>
  </si>
  <si>
    <t>Distriktstilskudd (sum alle)</t>
  </si>
  <si>
    <t>Bygg og fôrhvete</t>
  </si>
  <si>
    <t>3) Spesielt usikkert anslag. Nitratprisene er nylig redusert med ca 30%, men prisprognosen i</t>
  </si>
  <si>
    <t xml:space="preserve">    jordbruksavtalen er ikke justert ned (57,9% prisøkning fra 21/22)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</si>
</sst>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00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indexed="8"/>
      <name val="Arial"/>
      <family val="2"/>
    </font>
    <font>
      <sz val="11"/>
      <color rgb="FF0070C0"/>
      <name val="Arial"/>
      <family val="2"/>
    </font>
    <font>
      <vertAlign val="subscript"/>
      <sz val="11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19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19" fillId="6" borderId="5" xfId="0" applyFont="1" applyFill="1" applyBorder="1" applyProtection="1"/>
    <xf numFmtId="0" fontId="19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19" fillId="2" borderId="0" xfId="0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19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20" fillId="6" borderId="25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2" fillId="0" borderId="0" xfId="0" applyFont="1"/>
    <xf numFmtId="0" fontId="0" fillId="10" borderId="0" xfId="0" applyFill="1"/>
    <xf numFmtId="0" fontId="2" fillId="0" borderId="0" xfId="0" applyFont="1" applyFill="1" applyBorder="1"/>
    <xf numFmtId="165" fontId="4" fillId="7" borderId="0" xfId="1" applyNumberFormat="1" applyFont="1" applyFill="1" applyBorder="1" applyProtection="1"/>
    <xf numFmtId="0" fontId="20" fillId="11" borderId="0" xfId="0" applyFont="1" applyFill="1" applyBorder="1" applyProtection="1"/>
    <xf numFmtId="3" fontId="20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0" fillId="3" borderId="0" xfId="0" applyFont="1" applyFill="1" applyBorder="1" applyProtection="1"/>
    <xf numFmtId="0" fontId="11" fillId="3" borderId="26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6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27" xfId="0" applyFont="1" applyFill="1" applyBorder="1" applyProtection="1"/>
    <xf numFmtId="3" fontId="27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5" fillId="13" borderId="0" xfId="0" applyFont="1" applyFill="1" applyBorder="1" applyAlignment="1" applyProtection="1">
      <alignment horizontal="left"/>
    </xf>
    <xf numFmtId="0" fontId="25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1" fillId="14" borderId="5" xfId="0" applyFont="1" applyFill="1" applyBorder="1" applyProtection="1"/>
    <xf numFmtId="0" fontId="8" fillId="15" borderId="5" xfId="0" applyFont="1" applyFill="1" applyBorder="1" applyProtection="1"/>
    <xf numFmtId="3" fontId="29" fillId="15" borderId="16" xfId="0" applyNumberFormat="1" applyFont="1" applyFill="1" applyBorder="1" applyAlignment="1" applyProtection="1">
      <alignment horizontal="right"/>
    </xf>
    <xf numFmtId="0" fontId="31" fillId="15" borderId="5" xfId="0" applyFont="1" applyFill="1" applyBorder="1" applyProtection="1"/>
    <xf numFmtId="3" fontId="29" fillId="15" borderId="20" xfId="0" applyNumberFormat="1" applyFont="1" applyFill="1" applyBorder="1" applyAlignment="1" applyProtection="1">
      <alignment horizontal="right"/>
    </xf>
    <xf numFmtId="3" fontId="34" fillId="15" borderId="16" xfId="0" applyNumberFormat="1" applyFont="1" applyFill="1" applyBorder="1" applyProtection="1"/>
    <xf numFmtId="3" fontId="20" fillId="14" borderId="16" xfId="0" applyNumberFormat="1" applyFont="1" applyFill="1" applyBorder="1" applyProtection="1"/>
    <xf numFmtId="0" fontId="21" fillId="14" borderId="4" xfId="0" applyFont="1" applyFill="1" applyBorder="1" applyProtection="1"/>
    <xf numFmtId="3" fontId="20" fillId="14" borderId="28" xfId="0" applyNumberFormat="1" applyFont="1" applyFill="1" applyBorder="1" applyAlignment="1" applyProtection="1">
      <alignment horizontal="right"/>
    </xf>
    <xf numFmtId="3" fontId="35" fillId="13" borderId="18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165" fontId="2" fillId="13" borderId="0" xfId="0" applyNumberFormat="1" applyFont="1" applyFill="1" applyBorder="1" applyProtection="1"/>
    <xf numFmtId="0" fontId="36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37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6" xfId="0" applyFont="1" applyFill="1" applyBorder="1" applyProtection="1"/>
    <xf numFmtId="0" fontId="10" fillId="17" borderId="26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0" fontId="22" fillId="2" borderId="29" xfId="0" applyFont="1" applyFill="1" applyBorder="1" applyProtection="1"/>
    <xf numFmtId="0" fontId="19" fillId="2" borderId="15" xfId="0" applyFont="1" applyFill="1" applyBorder="1" applyProtection="1"/>
    <xf numFmtId="3" fontId="19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2" fontId="10" fillId="13" borderId="0" xfId="0" applyNumberFormat="1" applyFont="1" applyFill="1" applyBorder="1" applyAlignment="1" applyProtection="1">
      <alignment horizontal="right"/>
    </xf>
    <xf numFmtId="3" fontId="35" fillId="13" borderId="18" xfId="0" applyNumberFormat="1" applyFont="1" applyFill="1" applyBorder="1" applyAlignment="1" applyProtection="1">
      <alignment horizontal="right"/>
    </xf>
    <xf numFmtId="0" fontId="4" fillId="10" borderId="0" xfId="0" applyFont="1" applyFill="1" applyBorder="1"/>
    <xf numFmtId="0" fontId="2" fillId="0" borderId="1" xfId="0" applyFont="1" applyBorder="1"/>
    <xf numFmtId="49" fontId="4" fillId="9" borderId="0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37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 applyBorder="1"/>
    <xf numFmtId="0" fontId="18" fillId="18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9" borderId="0" xfId="0" applyFont="1" applyFill="1" applyBorder="1"/>
    <xf numFmtId="0" fontId="1" fillId="19" borderId="0" xfId="0" applyFont="1" applyFill="1"/>
    <xf numFmtId="0" fontId="1" fillId="19" borderId="1" xfId="0" applyFont="1" applyFill="1" applyBorder="1"/>
    <xf numFmtId="0" fontId="2" fillId="19" borderId="0" xfId="0" applyFont="1" applyFill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37" fillId="0" borderId="4" xfId="0" applyFont="1" applyBorder="1"/>
    <xf numFmtId="0" fontId="10" fillId="12" borderId="2" xfId="0" applyFont="1" applyFill="1" applyBorder="1" applyProtection="1"/>
    <xf numFmtId="0" fontId="29" fillId="15" borderId="12" xfId="0" applyFont="1" applyFill="1" applyBorder="1" applyProtection="1"/>
    <xf numFmtId="0" fontId="20" fillId="14" borderId="7" xfId="0" applyFont="1" applyFill="1" applyBorder="1" applyProtection="1"/>
    <xf numFmtId="0" fontId="10" fillId="3" borderId="18" xfId="0" applyFont="1" applyFill="1" applyBorder="1" applyProtection="1"/>
    <xf numFmtId="0" fontId="26" fillId="3" borderId="28" xfId="0" applyFont="1" applyFill="1" applyBorder="1" applyProtection="1"/>
    <xf numFmtId="3" fontId="10" fillId="3" borderId="0" xfId="0" applyNumberFormat="1" applyFont="1" applyFill="1" applyBorder="1" applyProtection="1"/>
    <xf numFmtId="3" fontId="11" fillId="16" borderId="1" xfId="0" applyNumberFormat="1" applyFont="1" applyFill="1" applyBorder="1" applyProtection="1">
      <protection locked="0"/>
    </xf>
    <xf numFmtId="49" fontId="10" fillId="13" borderId="1" xfId="0" applyNumberFormat="1" applyFont="1" applyFill="1" applyBorder="1" applyAlignment="1" applyProtection="1">
      <alignment horizontal="right"/>
    </xf>
    <xf numFmtId="0" fontId="10" fillId="17" borderId="29" xfId="0" applyFont="1" applyFill="1" applyBorder="1" applyAlignment="1" applyProtection="1">
      <alignment horizontal="left" vertical="top" wrapText="1"/>
    </xf>
    <xf numFmtId="0" fontId="5" fillId="6" borderId="18" xfId="0" applyFont="1" applyFill="1" applyBorder="1" applyAlignment="1" applyProtection="1">
      <alignment horizontal="right"/>
    </xf>
    <xf numFmtId="0" fontId="40" fillId="3" borderId="26" xfId="0" applyFont="1" applyFill="1" applyBorder="1" applyProtection="1"/>
    <xf numFmtId="165" fontId="10" fillId="13" borderId="0" xfId="1" applyNumberFormat="1" applyFont="1" applyFill="1" applyBorder="1" applyAlignment="1" applyProtection="1">
      <alignment horizontal="right"/>
    </xf>
    <xf numFmtId="3" fontId="2" fillId="0" borderId="0" xfId="0" applyNumberFormat="1" applyFont="1" applyBorder="1"/>
    <xf numFmtId="0" fontId="2" fillId="10" borderId="0" xfId="0" applyFont="1" applyFill="1"/>
    <xf numFmtId="3" fontId="2" fillId="0" borderId="0" xfId="0" applyNumberFormat="1" applyFont="1" applyFill="1" applyBorder="1"/>
    <xf numFmtId="3" fontId="4" fillId="0" borderId="0" xfId="0" applyNumberFormat="1" applyFont="1" applyFill="1" applyProtection="1"/>
    <xf numFmtId="0" fontId="21" fillId="20" borderId="5" xfId="0" applyFont="1" applyFill="1" applyBorder="1" applyProtection="1"/>
    <xf numFmtId="0" fontId="41" fillId="3" borderId="26" xfId="0" applyFont="1" applyFill="1" applyBorder="1" applyProtection="1"/>
    <xf numFmtId="0" fontId="2" fillId="21" borderId="4" xfId="0" applyFont="1" applyFill="1" applyBorder="1"/>
    <xf numFmtId="0" fontId="16" fillId="21" borderId="4" xfId="0" applyFont="1" applyFill="1" applyBorder="1"/>
    <xf numFmtId="0" fontId="18" fillId="22" borderId="0" xfId="0" applyFont="1" applyFill="1" applyBorder="1"/>
    <xf numFmtId="0" fontId="0" fillId="22" borderId="0" xfId="0" applyFill="1"/>
    <xf numFmtId="1" fontId="10" fillId="13" borderId="20" xfId="0" applyNumberFormat="1" applyFont="1" applyFill="1" applyBorder="1" applyAlignment="1" applyProtection="1">
      <alignment horizontal="right"/>
    </xf>
    <xf numFmtId="0" fontId="11" fillId="12" borderId="2" xfId="0" applyFont="1" applyFill="1" applyBorder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26" fillId="3" borderId="18" xfId="0" applyFont="1" applyFill="1" applyBorder="1" applyProtection="1"/>
    <xf numFmtId="0" fontId="2" fillId="0" borderId="0" xfId="0" applyFont="1" applyAlignment="1">
      <alignment horizontal="right"/>
    </xf>
    <xf numFmtId="0" fontId="2" fillId="0" borderId="8" xfId="0" applyFont="1" applyFill="1" applyBorder="1"/>
    <xf numFmtId="0" fontId="1" fillId="0" borderId="8" xfId="0" applyFont="1" applyFill="1" applyBorder="1"/>
    <xf numFmtId="0" fontId="1" fillId="23" borderId="0" xfId="0" applyFont="1" applyFill="1"/>
    <xf numFmtId="9" fontId="10" fillId="13" borderId="0" xfId="1" applyFont="1" applyFill="1" applyBorder="1" applyAlignment="1" applyProtection="1">
      <alignment horizontal="right"/>
    </xf>
    <xf numFmtId="0" fontId="10" fillId="17" borderId="21" xfId="0" applyFont="1" applyFill="1" applyBorder="1" applyProtection="1"/>
    <xf numFmtId="0" fontId="11" fillId="17" borderId="20" xfId="0" applyFont="1" applyFill="1" applyBorder="1" applyProtection="1"/>
    <xf numFmtId="3" fontId="44" fillId="13" borderId="18" xfId="0" applyNumberFormat="1" applyFont="1" applyFill="1" applyBorder="1" applyAlignment="1" applyProtection="1">
      <alignment horizontal="right"/>
    </xf>
    <xf numFmtId="0" fontId="14" fillId="3" borderId="23" xfId="0" applyFont="1" applyFill="1" applyBorder="1" applyProtection="1"/>
    <xf numFmtId="0" fontId="11" fillId="3" borderId="28" xfId="0" applyFont="1" applyFill="1" applyBorder="1" applyProtection="1"/>
    <xf numFmtId="0" fontId="40" fillId="3" borderId="0" xfId="0" applyFont="1" applyFill="1" applyBorder="1" applyProtection="1"/>
    <xf numFmtId="0" fontId="21" fillId="14" borderId="0" xfId="0" applyFont="1" applyFill="1" applyBorder="1" applyProtection="1"/>
    <xf numFmtId="0" fontId="21" fillId="16" borderId="14" xfId="0" applyFont="1" applyFill="1" applyBorder="1" applyProtection="1"/>
    <xf numFmtId="3" fontId="20" fillId="16" borderId="23" xfId="0" applyNumberFormat="1" applyFont="1" applyFill="1" applyBorder="1" applyProtection="1"/>
    <xf numFmtId="0" fontId="21" fillId="16" borderId="31" xfId="0" applyFont="1" applyFill="1" applyBorder="1" applyProtection="1"/>
    <xf numFmtId="3" fontId="20" fillId="16" borderId="32" xfId="0" applyNumberFormat="1" applyFont="1" applyFill="1" applyBorder="1" applyProtection="1"/>
    <xf numFmtId="0" fontId="43" fillId="6" borderId="33" xfId="0" applyFont="1" applyFill="1" applyBorder="1" applyProtection="1"/>
    <xf numFmtId="0" fontId="20" fillId="6" borderId="14" xfId="0" applyFont="1" applyFill="1" applyBorder="1" applyAlignment="1" applyProtection="1">
      <alignment horizontal="right"/>
    </xf>
    <xf numFmtId="0" fontId="11" fillId="12" borderId="0" xfId="0" applyFont="1" applyFill="1" applyBorder="1" applyProtection="1"/>
    <xf numFmtId="3" fontId="20" fillId="6" borderId="23" xfId="0" applyNumberFormat="1" applyFont="1" applyFill="1" applyBorder="1" applyAlignment="1" applyProtection="1">
      <alignment horizontal="right"/>
    </xf>
    <xf numFmtId="3" fontId="20" fillId="20" borderId="16" xfId="0" applyNumberFormat="1" applyFont="1" applyFill="1" applyBorder="1" applyProtection="1"/>
    <xf numFmtId="3" fontId="20" fillId="14" borderId="28" xfId="0" applyNumberFormat="1" applyFont="1" applyFill="1" applyBorder="1" applyProtection="1"/>
    <xf numFmtId="3" fontId="20" fillId="14" borderId="18" xfId="0" applyNumberFormat="1" applyFont="1" applyFill="1" applyBorder="1" applyProtection="1"/>
    <xf numFmtId="0" fontId="13" fillId="6" borderId="33" xfId="0" applyFont="1" applyFill="1" applyBorder="1" applyProtection="1"/>
    <xf numFmtId="0" fontId="10" fillId="12" borderId="10" xfId="0" applyFont="1" applyFill="1" applyBorder="1" applyProtection="1"/>
    <xf numFmtId="0" fontId="20" fillId="20" borderId="5" xfId="0" applyFont="1" applyFill="1" applyBorder="1" applyProtection="1"/>
    <xf numFmtId="0" fontId="20" fillId="14" borderId="4" xfId="0" applyFont="1" applyFill="1" applyBorder="1" applyProtection="1"/>
    <xf numFmtId="0" fontId="20" fillId="14" borderId="0" xfId="0" applyFont="1" applyFill="1" applyBorder="1" applyProtection="1"/>
    <xf numFmtId="0" fontId="41" fillId="16" borderId="31" xfId="0" applyFont="1" applyFill="1" applyBorder="1" applyProtection="1"/>
    <xf numFmtId="0" fontId="20" fillId="2" borderId="0" xfId="0" applyFont="1" applyFill="1" applyProtection="1"/>
    <xf numFmtId="4" fontId="11" fillId="2" borderId="0" xfId="0" applyNumberFormat="1" applyFont="1" applyFill="1" applyBorder="1" applyProtection="1">
      <protection locked="0"/>
    </xf>
    <xf numFmtId="4" fontId="11" fillId="2" borderId="1" xfId="0" applyNumberFormat="1" applyFont="1" applyFill="1" applyBorder="1" applyProtection="1">
      <protection locked="0"/>
    </xf>
    <xf numFmtId="4" fontId="0" fillId="0" borderId="0" xfId="0" applyNumberFormat="1"/>
    <xf numFmtId="0" fontId="11" fillId="17" borderId="0" xfId="0" applyFont="1" applyFill="1" applyBorder="1" applyProtection="1"/>
    <xf numFmtId="0" fontId="11" fillId="17" borderId="1" xfId="0" applyFont="1" applyFill="1" applyBorder="1" applyProtection="1"/>
    <xf numFmtId="0" fontId="11" fillId="17" borderId="15" xfId="0" applyFont="1" applyFill="1" applyBorder="1" applyProtection="1"/>
    <xf numFmtId="0" fontId="41" fillId="16" borderId="13" xfId="0" applyFont="1" applyFill="1" applyBorder="1" applyProtection="1"/>
    <xf numFmtId="0" fontId="22" fillId="2" borderId="26" xfId="0" applyFont="1" applyFill="1" applyBorder="1" applyProtection="1"/>
    <xf numFmtId="0" fontId="10" fillId="12" borderId="0" xfId="0" applyFont="1" applyFill="1" applyBorder="1" applyProtection="1"/>
    <xf numFmtId="0" fontId="0" fillId="24" borderId="0" xfId="0" applyFill="1"/>
    <xf numFmtId="0" fontId="13" fillId="6" borderId="34" xfId="0" applyFont="1" applyFill="1" applyBorder="1" applyProtection="1"/>
    <xf numFmtId="0" fontId="43" fillId="6" borderId="34" xfId="0" applyFont="1" applyFill="1" applyBorder="1" applyProtection="1"/>
    <xf numFmtId="0" fontId="11" fillId="12" borderId="19" xfId="0" applyFont="1" applyFill="1" applyBorder="1" applyProtection="1"/>
    <xf numFmtId="0" fontId="10" fillId="12" borderId="19" xfId="0" applyFont="1" applyFill="1" applyBorder="1" applyProtection="1"/>
    <xf numFmtId="0" fontId="10" fillId="12" borderId="35" xfId="0" applyFont="1" applyFill="1" applyBorder="1" applyProtection="1"/>
    <xf numFmtId="0" fontId="11" fillId="12" borderId="17" xfId="0" applyFont="1" applyFill="1" applyBorder="1" applyProtection="1"/>
    <xf numFmtId="0" fontId="29" fillId="15" borderId="36" xfId="0" applyFont="1" applyFill="1" applyBorder="1" applyProtection="1"/>
    <xf numFmtId="3" fontId="4" fillId="13" borderId="18" xfId="0" applyNumberFormat="1" applyFont="1" applyFill="1" applyBorder="1" applyProtection="1"/>
    <xf numFmtId="0" fontId="10" fillId="12" borderId="19" xfId="0" applyFont="1" applyFill="1" applyBorder="1" applyAlignment="1" applyProtection="1"/>
    <xf numFmtId="0" fontId="20" fillId="14" borderId="17" xfId="0" applyFont="1" applyFill="1" applyBorder="1" applyProtection="1"/>
    <xf numFmtId="0" fontId="33" fillId="11" borderId="26" xfId="0" applyFont="1" applyFill="1" applyBorder="1" applyProtection="1"/>
    <xf numFmtId="0" fontId="33" fillId="11" borderId="21" xfId="0" applyFont="1" applyFill="1" applyBorder="1" applyProtection="1"/>
    <xf numFmtId="0" fontId="28" fillId="12" borderId="19" xfId="0" applyFont="1" applyFill="1" applyBorder="1" applyProtection="1"/>
    <xf numFmtId="0" fontId="20" fillId="14" borderId="37" xfId="0" applyFont="1" applyFill="1" applyBorder="1" applyProtection="1"/>
    <xf numFmtId="0" fontId="20" fillId="20" borderId="37" xfId="0" applyFont="1" applyFill="1" applyBorder="1" applyProtection="1"/>
    <xf numFmtId="0" fontId="20" fillId="14" borderId="27" xfId="0" applyFont="1" applyFill="1" applyBorder="1" applyProtection="1"/>
    <xf numFmtId="0" fontId="20" fillId="14" borderId="29" xfId="0" applyFont="1" applyFill="1" applyBorder="1" applyProtection="1"/>
    <xf numFmtId="0" fontId="21" fillId="14" borderId="15" xfId="0" applyFont="1" applyFill="1" applyBorder="1" applyProtection="1"/>
    <xf numFmtId="3" fontId="20" fillId="14" borderId="22" xfId="0" applyNumberFormat="1" applyFont="1" applyFill="1" applyBorder="1" applyProtection="1"/>
    <xf numFmtId="0" fontId="46" fillId="2" borderId="26" xfId="0" applyFont="1" applyFill="1" applyBorder="1" applyProtection="1"/>
    <xf numFmtId="0" fontId="46" fillId="0" borderId="29" xfId="0" applyFont="1" applyBorder="1" applyProtection="1"/>
    <xf numFmtId="0" fontId="13" fillId="6" borderId="30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4" xfId="0" applyFont="1" applyFill="1" applyBorder="1" applyAlignment="1" applyProtection="1">
      <alignment horizontal="right"/>
    </xf>
    <xf numFmtId="0" fontId="4" fillId="6" borderId="25" xfId="0" applyFont="1" applyFill="1" applyBorder="1" applyAlignment="1" applyProtection="1">
      <alignment horizontal="right"/>
    </xf>
    <xf numFmtId="0" fontId="13" fillId="6" borderId="14" xfId="0" applyFont="1" applyFill="1" applyBorder="1" applyAlignment="1" applyProtection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141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142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IF((Satser!M2+Satser!M3*0.6)&lt;200,(Satser!M2+Satser!M3*0.6),200)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143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141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144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145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148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147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144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145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151</v>
      </c>
      <c r="D285" t="s">
        <v>154</v>
      </c>
      <c r="E285" t="s">
        <v>155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152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153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156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AF660"/>
  <sheetViews>
    <sheetView tabSelected="1" zoomScale="110" zoomScaleNormal="110" workbookViewId="0">
      <selection activeCell="A20" sqref="A20"/>
    </sheetView>
  </sheetViews>
  <sheetFormatPr baseColWidth="10" defaultColWidth="9.140625" defaultRowHeight="12.75" x14ac:dyDescent="0.2"/>
  <cols>
    <col min="1" max="1" width="50.7109375" style="164" customWidth="1"/>
    <col min="2" max="2" width="11.140625" style="164" customWidth="1"/>
    <col min="3" max="3" width="8.7109375" style="164" customWidth="1"/>
    <col min="4" max="4" width="52.85546875" style="122" customWidth="1"/>
    <col min="5" max="5" width="18.5703125" style="122" customWidth="1"/>
    <col min="6" max="6" width="24.42578125" style="160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4"/>
  </cols>
  <sheetData>
    <row r="1" spans="1:8" ht="26.25" x14ac:dyDescent="0.4">
      <c r="A1" s="118" t="s">
        <v>298</v>
      </c>
      <c r="B1" s="121"/>
      <c r="C1" s="121"/>
      <c r="D1" s="228"/>
    </row>
    <row r="2" spans="1:8" ht="23.25" x14ac:dyDescent="0.35">
      <c r="A2" s="350" t="s">
        <v>357</v>
      </c>
      <c r="B2" s="121"/>
      <c r="C2" s="121"/>
      <c r="D2" s="228"/>
    </row>
    <row r="3" spans="1:8" ht="13.5" customHeight="1" thickBot="1" x14ac:dyDescent="0.25">
      <c r="A3" s="123"/>
      <c r="B3" s="123"/>
      <c r="C3" s="123"/>
      <c r="D3" s="124"/>
      <c r="E3" s="124"/>
      <c r="F3" s="161"/>
    </row>
    <row r="4" spans="1:8" ht="20.25" customHeight="1" thickBot="1" x14ac:dyDescent="0.35">
      <c r="A4" s="119" t="s">
        <v>122</v>
      </c>
      <c r="B4" s="120"/>
      <c r="C4" s="329"/>
      <c r="D4" s="344" t="s">
        <v>248</v>
      </c>
      <c r="E4" s="382" t="s">
        <v>288</v>
      </c>
      <c r="F4" s="383"/>
      <c r="G4" s="384" t="s">
        <v>140</v>
      </c>
      <c r="H4" s="385"/>
    </row>
    <row r="5" spans="1:8" ht="16.5" customHeight="1" x14ac:dyDescent="0.25">
      <c r="A5" s="312" t="s">
        <v>283</v>
      </c>
      <c r="B5" s="187"/>
      <c r="C5" s="298"/>
      <c r="D5" s="337" t="s">
        <v>299</v>
      </c>
      <c r="E5" s="338" t="s">
        <v>190</v>
      </c>
      <c r="F5" s="340" t="s">
        <v>194</v>
      </c>
      <c r="G5" s="129">
        <v>0.09</v>
      </c>
      <c r="H5" s="130">
        <f>(B13+B14)*G5</f>
        <v>0</v>
      </c>
    </row>
    <row r="6" spans="1:8" ht="16.5" customHeight="1" x14ac:dyDescent="0.25">
      <c r="A6" s="188" t="s">
        <v>160</v>
      </c>
      <c r="B6" s="319">
        <v>1</v>
      </c>
      <c r="C6" s="320"/>
      <c r="D6" s="339" t="s">
        <v>311</v>
      </c>
      <c r="E6" s="203"/>
      <c r="F6" s="202"/>
      <c r="G6" s="126"/>
      <c r="H6" s="125" t="s">
        <v>1</v>
      </c>
    </row>
    <row r="7" spans="1:8" ht="15.75" customHeight="1" x14ac:dyDescent="0.25">
      <c r="A7" s="188" t="str">
        <f>IF(B6="5B", "Holder du til i Rogaland?","")</f>
        <v/>
      </c>
      <c r="B7" s="189" t="s">
        <v>370</v>
      </c>
      <c r="C7" s="320"/>
      <c r="D7" s="295" t="s">
        <v>198</v>
      </c>
      <c r="E7" s="203" t="s">
        <v>358</v>
      </c>
      <c r="F7" s="202">
        <f>(($B$13+$B$14)*Satser!$C$222)/2</f>
        <v>0</v>
      </c>
      <c r="G7" s="246"/>
      <c r="H7" s="304"/>
    </row>
    <row r="8" spans="1:8" ht="16.5" customHeight="1" x14ac:dyDescent="0.25">
      <c r="A8" s="188" t="s">
        <v>317</v>
      </c>
      <c r="B8" s="319" t="s">
        <v>318</v>
      </c>
      <c r="C8" s="320"/>
      <c r="D8" s="295" t="s">
        <v>51</v>
      </c>
      <c r="E8" s="203" t="s">
        <v>359</v>
      </c>
      <c r="F8" s="202">
        <f>($B$18*Satser!$C$227)+(Utslag!$B$21*Satser!$C$232)+(Utslag!$B$19*Satser!$C$229)+($B$20*Satser!$C$231)</f>
        <v>0</v>
      </c>
      <c r="G8" s="246"/>
      <c r="H8" s="304"/>
    </row>
    <row r="9" spans="1:8" ht="15.75" customHeight="1" x14ac:dyDescent="0.2">
      <c r="A9" s="305" t="str">
        <f>IF(B6=5,"Rogaland, Hordaland, Sogn- og Fjordane eller Møre og Romsdal?","")</f>
        <v/>
      </c>
      <c r="B9" s="331" t="str">
        <f>IF(C6=5,"Rogaland, Hordaland, Sogn- og Fjordane eller Møre og Romsdal?","")</f>
        <v/>
      </c>
      <c r="C9" s="298"/>
      <c r="D9" s="295" t="s">
        <v>38</v>
      </c>
      <c r="E9" s="203" t="s">
        <v>360</v>
      </c>
      <c r="F9" s="202">
        <f>$B$24*Satser!$C$234</f>
        <v>0</v>
      </c>
      <c r="G9" s="246"/>
      <c r="H9" s="304"/>
    </row>
    <row r="10" spans="1:8" ht="16.5" customHeight="1" x14ac:dyDescent="0.25">
      <c r="A10" s="188" t="s">
        <v>236</v>
      </c>
      <c r="B10" s="189" t="s">
        <v>212</v>
      </c>
      <c r="C10" s="298"/>
      <c r="D10" s="345" t="s">
        <v>247</v>
      </c>
      <c r="E10" s="302" t="s">
        <v>361</v>
      </c>
      <c r="F10" s="317">
        <f>$B$32*$E$10</f>
        <v>0</v>
      </c>
      <c r="G10" s="129"/>
      <c r="H10" s="130"/>
    </row>
    <row r="11" spans="1:8" ht="16.5" customHeight="1" x14ac:dyDescent="0.25">
      <c r="A11" s="188"/>
      <c r="B11" s="331" t="str">
        <f>IF(C9=5,"Rogaland, Hordaland, Sogn- og Fjordane eller Møre og Romsdal?","")</f>
        <v/>
      </c>
      <c r="C11" s="298"/>
      <c r="D11" s="318" t="s">
        <v>313</v>
      </c>
      <c r="E11" s="203"/>
      <c r="F11" s="202"/>
      <c r="G11" s="129"/>
      <c r="H11" s="130"/>
    </row>
    <row r="12" spans="1:8" ht="15.75" customHeight="1" x14ac:dyDescent="0.25">
      <c r="A12" s="188" t="s">
        <v>67</v>
      </c>
      <c r="B12" s="187"/>
      <c r="C12" s="298"/>
      <c r="D12" s="295" t="s">
        <v>138</v>
      </c>
      <c r="E12" s="203" t="s">
        <v>290</v>
      </c>
      <c r="F12" s="202">
        <f>(60.5*$E$12*$B$15)/2</f>
        <v>0</v>
      </c>
      <c r="G12" s="129">
        <v>0.02</v>
      </c>
      <c r="H12" s="130">
        <f>B18*G12</f>
        <v>0</v>
      </c>
    </row>
    <row r="13" spans="1:8" ht="15.75" customHeight="1" x14ac:dyDescent="0.25">
      <c r="A13" s="193" t="s">
        <v>13</v>
      </c>
      <c r="B13" s="230"/>
      <c r="C13" s="190" t="s">
        <v>14</v>
      </c>
      <c r="D13" s="295" t="s">
        <v>166</v>
      </c>
      <c r="E13" s="203" t="s">
        <v>290</v>
      </c>
      <c r="F13" s="202">
        <f>(49.13*$E$13*$B$17)/2</f>
        <v>0</v>
      </c>
      <c r="G13" s="129">
        <v>0.02</v>
      </c>
      <c r="H13" s="130" t="e">
        <f>#REF!*G13</f>
        <v>#REF!</v>
      </c>
    </row>
    <row r="14" spans="1:8" ht="15.75" customHeight="1" x14ac:dyDescent="0.25">
      <c r="A14" s="193" t="s">
        <v>15</v>
      </c>
      <c r="B14" s="230"/>
      <c r="C14" s="190" t="s">
        <v>14</v>
      </c>
      <c r="D14" s="295" t="s">
        <v>165</v>
      </c>
      <c r="E14" s="203" t="s">
        <v>290</v>
      </c>
      <c r="F14" s="202">
        <f>(32.68*$B$16*$E$14)/2</f>
        <v>0</v>
      </c>
      <c r="G14" s="129"/>
      <c r="H14" s="130"/>
    </row>
    <row r="15" spans="1:8" ht="15.75" customHeight="1" x14ac:dyDescent="0.25">
      <c r="A15" s="193" t="s">
        <v>138</v>
      </c>
      <c r="B15" s="230"/>
      <c r="C15" s="190" t="s">
        <v>2</v>
      </c>
      <c r="D15" s="295" t="s">
        <v>80</v>
      </c>
      <c r="E15" s="203" t="s">
        <v>290</v>
      </c>
      <c r="F15" s="202">
        <f>(18.75*$E$15*$B$22)/2</f>
        <v>0</v>
      </c>
      <c r="G15" s="129"/>
      <c r="H15" s="130"/>
    </row>
    <row r="16" spans="1:8" ht="15.75" customHeight="1" x14ac:dyDescent="0.25">
      <c r="A16" s="193" t="s">
        <v>165</v>
      </c>
      <c r="B16" s="230"/>
      <c r="C16" s="190" t="s">
        <v>2</v>
      </c>
      <c r="D16" s="295" t="s">
        <v>201</v>
      </c>
      <c r="E16" s="203" t="s">
        <v>291</v>
      </c>
      <c r="F16" s="204">
        <f>(3.4*$B$23)/2</f>
        <v>0</v>
      </c>
      <c r="G16" s="129">
        <v>0.25</v>
      </c>
      <c r="H16" s="130">
        <f>B22*G16</f>
        <v>0</v>
      </c>
    </row>
    <row r="17" spans="1:8" ht="15.75" customHeight="1" x14ac:dyDescent="0.25">
      <c r="A17" s="193" t="s">
        <v>166</v>
      </c>
      <c r="B17" s="230"/>
      <c r="C17" s="190" t="s">
        <v>2</v>
      </c>
      <c r="D17" s="296" t="s">
        <v>312</v>
      </c>
      <c r="E17" s="213"/>
      <c r="F17" s="214">
        <f>SUM(F7:F16)</f>
        <v>0</v>
      </c>
      <c r="G17" s="135">
        <v>4.5999999999999999E-2</v>
      </c>
      <c r="H17" s="136">
        <f>B32*G17</f>
        <v>0</v>
      </c>
    </row>
    <row r="18" spans="1:8" ht="15.75" customHeight="1" x14ac:dyDescent="0.25">
      <c r="A18" s="193" t="s">
        <v>265</v>
      </c>
      <c r="B18" s="230"/>
      <c r="C18" s="190" t="s">
        <v>2</v>
      </c>
      <c r="D18" s="295" t="s">
        <v>245</v>
      </c>
      <c r="E18" s="203"/>
      <c r="F18" s="202">
        <f>B29*Satser!X4+Utslag!B30*Satser!X5+Utslag!B31*Satser!X6</f>
        <v>0</v>
      </c>
      <c r="G18" s="126"/>
      <c r="H18" s="137" t="e">
        <f>SUM(H5:H17)</f>
        <v>#REF!</v>
      </c>
    </row>
    <row r="19" spans="1:8" ht="15.75" customHeight="1" x14ac:dyDescent="0.25">
      <c r="A19" s="193" t="s">
        <v>373</v>
      </c>
      <c r="B19" s="230"/>
      <c r="C19" s="190" t="s">
        <v>2</v>
      </c>
      <c r="D19" s="295" t="s">
        <v>66</v>
      </c>
      <c r="E19" s="206" t="str">
        <f>IF(Satser!C81&gt;0,"Toppavgrensing",IF(Satser!C82&gt;0,"Toppavgrensing",IF(Satser!C83&gt;0,"Toppavgr.før, ikke nå","")))</f>
        <v/>
      </c>
      <c r="F19" s="202">
        <f>B42*Satser!X9+Utslag!B43*Satser!X10+Utslag!B44*Satser!X11+Utslag!B45*Satser!X12+Utslag!B46*Satser!X13+Utslag!B47*Satser!X14+Utslag!B48*Satser!X15+Utslag!B49*Satser!X16+Utslag!B52*Satser!X19+Utslag!B54*Satser!X20+Utslag!B53*Satser!X21</f>
        <v>0</v>
      </c>
      <c r="G19" s="246"/>
      <c r="H19" s="247"/>
    </row>
    <row r="20" spans="1:8" ht="15.75" customHeight="1" x14ac:dyDescent="0.25">
      <c r="A20" s="193" t="s">
        <v>167</v>
      </c>
      <c r="B20" s="230"/>
      <c r="C20" s="190" t="s">
        <v>2</v>
      </c>
      <c r="D20" s="295" t="s">
        <v>305</v>
      </c>
      <c r="E20" s="205"/>
      <c r="F20" s="202">
        <f>B36*Satser!X25+Utslag!B37*Satser!X26+Utslag!B38*Satser!X27+Utslag!B39*Satser!X28+Utslag!B40*Satser!X29+(B35+B34*0.6)*Satser!X24</f>
        <v>0</v>
      </c>
      <c r="G20" s="246"/>
      <c r="H20" s="247"/>
    </row>
    <row r="21" spans="1:8" ht="15.75" customHeight="1" x14ac:dyDescent="0.25">
      <c r="A21" s="193" t="s">
        <v>69</v>
      </c>
      <c r="B21" s="230"/>
      <c r="C21" s="190" t="s">
        <v>2</v>
      </c>
      <c r="D21" s="296" t="s">
        <v>133</v>
      </c>
      <c r="E21" s="211"/>
      <c r="F21" s="212">
        <f>SUM(F18:F20)</f>
        <v>0</v>
      </c>
      <c r="G21" s="246"/>
      <c r="H21" s="247"/>
    </row>
    <row r="22" spans="1:8" ht="19.5" customHeight="1" x14ac:dyDescent="0.25">
      <c r="A22" s="193" t="s">
        <v>80</v>
      </c>
      <c r="B22" s="230"/>
      <c r="C22" s="190" t="s">
        <v>2</v>
      </c>
      <c r="D22" s="297" t="s">
        <v>306</v>
      </c>
      <c r="E22" s="217"/>
      <c r="F22" s="218">
        <f>F21+F17</f>
        <v>0</v>
      </c>
      <c r="G22" s="139" t="s">
        <v>149</v>
      </c>
      <c r="H22" s="130" t="e">
        <f>0*'Ark18'!C20+0*#REF!-#REF!*63+#REF!*0</f>
        <v>#REF!</v>
      </c>
    </row>
    <row r="23" spans="1:8" ht="18" customHeight="1" x14ac:dyDescent="0.25">
      <c r="A23" s="193" t="s">
        <v>201</v>
      </c>
      <c r="B23" s="230"/>
      <c r="C23" s="190" t="s">
        <v>2</v>
      </c>
      <c r="D23" s="346" t="s">
        <v>307</v>
      </c>
      <c r="E23" s="311"/>
      <c r="F23" s="341">
        <f>IF($B$64&gt;354211,0,IF(($B$64+F22)&lt;0,0,IF(($B$64+F22)&lt;93000,(F22*0.22)/(1-0.397),IF(AND(($B$64+F22)&gt;93000,($B$64+F22)&lt;354211),IF($B$64&lt;93000,((93000-$B$64)*0.22)/(1-0.397),(F22*0.38*0.22)/(1-0.397)),IF(AND($B$64&lt;354211,($B$64+F22)&gt;354211),((354211-$B$64)*0.38*0.22)/(1-0.397))))))</f>
        <v>0</v>
      </c>
      <c r="G23" s="139"/>
      <c r="H23" s="130"/>
    </row>
    <row r="24" spans="1:8" ht="19.5" customHeight="1" x14ac:dyDescent="0.25">
      <c r="A24" s="193" t="s">
        <v>61</v>
      </c>
      <c r="B24" s="230"/>
      <c r="C24" s="190" t="s">
        <v>2</v>
      </c>
      <c r="D24" s="347" t="s">
        <v>356</v>
      </c>
      <c r="E24" s="217"/>
      <c r="F24" s="342">
        <f>F22+F23</f>
        <v>0</v>
      </c>
      <c r="G24" s="138">
        <v>7</v>
      </c>
      <c r="H24" s="130" t="e">
        <f>('Ark18'!C8+'Ark18'!C9+(B34*0.6)+B35+#REF!+'Ark18'!C6+'Ark18'!C7)*G24</f>
        <v>#REF!</v>
      </c>
    </row>
    <row r="25" spans="1:8" ht="18.75" customHeight="1" thickBot="1" x14ac:dyDescent="0.3">
      <c r="A25" s="193" t="s">
        <v>268</v>
      </c>
      <c r="B25" s="230"/>
      <c r="C25" s="190" t="s">
        <v>2</v>
      </c>
      <c r="D25" s="348" t="s">
        <v>284</v>
      </c>
      <c r="E25" s="332"/>
      <c r="F25" s="343" t="str">
        <f>IF($B$65="","",$F$24/$B$65)</f>
        <v/>
      </c>
      <c r="G25" s="138"/>
      <c r="H25" s="130"/>
    </row>
    <row r="26" spans="1:8" ht="19.5" customHeight="1" thickBot="1" x14ac:dyDescent="0.3">
      <c r="A26" s="193" t="s">
        <v>286</v>
      </c>
      <c r="B26" s="230"/>
      <c r="C26" s="190" t="s">
        <v>2</v>
      </c>
      <c r="D26" s="349" t="s">
        <v>355</v>
      </c>
      <c r="E26" s="335"/>
      <c r="F26" s="336"/>
      <c r="G26" s="138"/>
      <c r="H26" s="130"/>
    </row>
    <row r="27" spans="1:8" ht="15.75" customHeight="1" thickBot="1" x14ac:dyDescent="0.3">
      <c r="A27" s="193" t="s">
        <v>269</v>
      </c>
      <c r="B27" s="230"/>
      <c r="C27" s="190" t="s">
        <v>2</v>
      </c>
      <c r="G27" s="138"/>
      <c r="H27" s="130"/>
    </row>
    <row r="28" spans="1:8" ht="21" customHeight="1" thickBot="1" x14ac:dyDescent="0.35">
      <c r="A28" s="193" t="s">
        <v>246</v>
      </c>
      <c r="B28" s="230"/>
      <c r="C28" s="190" t="s">
        <v>2</v>
      </c>
      <c r="D28" s="361" t="s">
        <v>248</v>
      </c>
      <c r="E28" s="386" t="s">
        <v>310</v>
      </c>
      <c r="F28" s="383"/>
      <c r="G28" s="138"/>
      <c r="H28" s="130"/>
    </row>
    <row r="29" spans="1:8" ht="23.25" customHeight="1" x14ac:dyDescent="0.25">
      <c r="A29" s="193" t="s">
        <v>273</v>
      </c>
      <c r="B29" s="230"/>
      <c r="C29" s="190" t="s">
        <v>2</v>
      </c>
      <c r="D29" s="362" t="s">
        <v>309</v>
      </c>
      <c r="E29" s="338" t="s">
        <v>190</v>
      </c>
      <c r="F29" s="175" t="s">
        <v>194</v>
      </c>
      <c r="G29" s="138"/>
      <c r="H29" s="130"/>
    </row>
    <row r="30" spans="1:8" ht="16.5" customHeight="1" x14ac:dyDescent="0.25">
      <c r="A30" s="193" t="s">
        <v>274</v>
      </c>
      <c r="B30" s="230"/>
      <c r="C30" s="190" t="s">
        <v>2</v>
      </c>
      <c r="D30" s="363" t="s">
        <v>311</v>
      </c>
      <c r="E30" s="203"/>
      <c r="F30" s="202"/>
      <c r="G30" s="138"/>
      <c r="H30" s="130"/>
    </row>
    <row r="31" spans="1:8" ht="17.25" customHeight="1" x14ac:dyDescent="0.25">
      <c r="A31" s="193" t="s">
        <v>275</v>
      </c>
      <c r="B31" s="230"/>
      <c r="C31" s="190" t="s">
        <v>2</v>
      </c>
      <c r="D31" s="364" t="s">
        <v>198</v>
      </c>
      <c r="E31" s="203" t="s">
        <v>358</v>
      </c>
      <c r="F31" s="202">
        <f>($B$13+$B$14)*Satser!$C$222</f>
        <v>0</v>
      </c>
      <c r="G31" s="138"/>
      <c r="H31" s="130"/>
    </row>
    <row r="32" spans="1:8" ht="15.75" customHeight="1" x14ac:dyDescent="0.25">
      <c r="A32" s="194" t="s">
        <v>264</v>
      </c>
      <c r="B32" s="229"/>
      <c r="C32" s="192" t="s">
        <v>54</v>
      </c>
      <c r="D32" s="364" t="s">
        <v>51</v>
      </c>
      <c r="E32" s="203" t="s">
        <v>359</v>
      </c>
      <c r="F32" s="202">
        <f>($B$18*Satser!$C$227)+(Utslag!$B$21*Satser!$C$232)+(Utslag!$B$19*Satser!$C$229)+($B$20*Satser!$C$231)</f>
        <v>0</v>
      </c>
      <c r="G32" s="138"/>
      <c r="H32" s="130" t="e">
        <f>tilbud!E37</f>
        <v>#REF!</v>
      </c>
    </row>
    <row r="33" spans="1:12" ht="18.75" customHeight="1" x14ac:dyDescent="0.25">
      <c r="A33" s="196" t="s">
        <v>49</v>
      </c>
      <c r="B33" s="197"/>
      <c r="C33" s="299"/>
      <c r="D33" s="364" t="s">
        <v>38</v>
      </c>
      <c r="E33" s="203" t="s">
        <v>360</v>
      </c>
      <c r="F33" s="202">
        <f>$B$24*Satser!$C$234</f>
        <v>0</v>
      </c>
      <c r="G33" s="141" t="e">
        <f>IF(tilbud!C204&gt;0,"Toppavgrensing",IF(tilbud!C205&gt;0,"Toppavgrensing",IF(tilbud!C206&gt;0,"Toppavgr.før, ikke nå","")))</f>
        <v>#REF!</v>
      </c>
      <c r="H33" s="130" t="e">
        <f>IF(tilbud!$C$207=0,tilbud!$D$210,tilbud!$C$207)</f>
        <v>#REF!</v>
      </c>
    </row>
    <row r="34" spans="1:12" ht="15" customHeight="1" x14ac:dyDescent="0.25">
      <c r="A34" s="193" t="s">
        <v>70</v>
      </c>
      <c r="B34" s="231"/>
      <c r="C34" s="190" t="s">
        <v>3</v>
      </c>
      <c r="D34" s="365" t="s">
        <v>247</v>
      </c>
      <c r="E34" s="302" t="s">
        <v>361</v>
      </c>
      <c r="F34" s="317">
        <f>$B$32*$E$10</f>
        <v>0</v>
      </c>
      <c r="G34" s="144">
        <v>0.02</v>
      </c>
      <c r="H34" s="145">
        <f>G34*'Ark18'!C22</f>
        <v>0</v>
      </c>
    </row>
    <row r="35" spans="1:12" ht="15" customHeight="1" x14ac:dyDescent="0.25">
      <c r="A35" s="193" t="s">
        <v>71</v>
      </c>
      <c r="B35" s="231"/>
      <c r="C35" s="190" t="s">
        <v>3</v>
      </c>
      <c r="D35" s="366" t="s">
        <v>313</v>
      </c>
      <c r="E35" s="203"/>
      <c r="F35" s="202"/>
      <c r="G35" s="147"/>
      <c r="H35" s="146" t="e">
        <f>H112+H18-H34</f>
        <v>#REF!</v>
      </c>
    </row>
    <row r="36" spans="1:12" ht="15" customHeight="1" x14ac:dyDescent="0.25">
      <c r="A36" s="193" t="s">
        <v>48</v>
      </c>
      <c r="B36" s="231"/>
      <c r="C36" s="190" t="s">
        <v>3</v>
      </c>
      <c r="D36" s="364" t="s">
        <v>206</v>
      </c>
      <c r="E36" s="203" t="s">
        <v>314</v>
      </c>
      <c r="F36" s="202">
        <f>(60.5*$E$36*$B$15)</f>
        <v>0</v>
      </c>
      <c r="G36" s="252"/>
      <c r="H36" s="253"/>
    </row>
    <row r="37" spans="1:12" ht="15.75" customHeight="1" x14ac:dyDescent="0.25">
      <c r="A37" s="193" t="s">
        <v>50</v>
      </c>
      <c r="B37" s="231"/>
      <c r="C37" s="190" t="s">
        <v>3</v>
      </c>
      <c r="D37" s="364" t="s">
        <v>208</v>
      </c>
      <c r="E37" s="203" t="s">
        <v>314</v>
      </c>
      <c r="F37" s="202">
        <f>(49.13*$E$37*$B$17)</f>
        <v>0</v>
      </c>
      <c r="G37" s="252"/>
      <c r="H37" s="253"/>
    </row>
    <row r="38" spans="1:12" ht="15.75" customHeight="1" x14ac:dyDescent="0.25">
      <c r="A38" s="193" t="s">
        <v>62</v>
      </c>
      <c r="B38" s="231"/>
      <c r="C38" s="190" t="s">
        <v>3</v>
      </c>
      <c r="D38" s="364" t="s">
        <v>289</v>
      </c>
      <c r="E38" s="203" t="s">
        <v>314</v>
      </c>
      <c r="F38" s="202">
        <f>(32.68*$B$16*$E$38)</f>
        <v>0</v>
      </c>
      <c r="G38" s="252"/>
      <c r="H38" s="253"/>
    </row>
    <row r="39" spans="1:12" ht="15.75" customHeight="1" x14ac:dyDescent="0.25">
      <c r="A39" s="193" t="s">
        <v>227</v>
      </c>
      <c r="B39" s="231"/>
      <c r="C39" s="190" t="s">
        <v>3</v>
      </c>
      <c r="D39" s="364" t="s">
        <v>209</v>
      </c>
      <c r="E39" s="203" t="s">
        <v>314</v>
      </c>
      <c r="F39" s="202">
        <f>(18.75*$E$39*$B$22)</f>
        <v>0</v>
      </c>
      <c r="G39" s="252"/>
      <c r="H39" s="253"/>
    </row>
    <row r="40" spans="1:12" ht="18" customHeight="1" x14ac:dyDescent="0.25">
      <c r="A40" s="193" t="s">
        <v>141</v>
      </c>
      <c r="B40" s="231"/>
      <c r="C40" s="190" t="s">
        <v>3</v>
      </c>
      <c r="D40" s="365" t="s">
        <v>249</v>
      </c>
      <c r="E40" s="203" t="s">
        <v>315</v>
      </c>
      <c r="F40" s="204">
        <f>(22.26*E40*$B$23)</f>
        <v>0</v>
      </c>
      <c r="G40" s="252"/>
      <c r="H40" s="253"/>
    </row>
    <row r="41" spans="1:12" ht="18.75" customHeight="1" x14ac:dyDescent="0.25">
      <c r="A41" s="196" t="s">
        <v>68</v>
      </c>
      <c r="B41" s="198"/>
      <c r="C41" s="330"/>
      <c r="D41" s="367" t="s">
        <v>205</v>
      </c>
      <c r="E41" s="213"/>
      <c r="F41" s="214">
        <f>SUM(F31:F40)</f>
        <v>0</v>
      </c>
      <c r="G41" s="149"/>
      <c r="H41" s="150"/>
    </row>
    <row r="42" spans="1:12" ht="17.25" customHeight="1" x14ac:dyDescent="0.25">
      <c r="A42" s="193" t="s">
        <v>4</v>
      </c>
      <c r="B42" s="230"/>
      <c r="C42" s="190" t="s">
        <v>5</v>
      </c>
      <c r="D42" s="364" t="s">
        <v>372</v>
      </c>
      <c r="E42" s="203"/>
      <c r="F42" s="368">
        <f>Satser!N63</f>
        <v>0</v>
      </c>
      <c r="G42" s="124"/>
      <c r="H42" s="151"/>
      <c r="J42" s="121"/>
      <c r="K42" s="121"/>
      <c r="L42" s="121"/>
    </row>
    <row r="43" spans="1:12" ht="15.75" customHeight="1" x14ac:dyDescent="0.25">
      <c r="A43" s="193" t="s">
        <v>188</v>
      </c>
      <c r="B43" s="230"/>
      <c r="C43" s="190" t="s">
        <v>5</v>
      </c>
      <c r="D43" s="364" t="s">
        <v>220</v>
      </c>
      <c r="E43" s="205"/>
      <c r="F43" s="202">
        <f>IF($B$6="","Sone mangler",Satser!$E$20)</f>
        <v>0</v>
      </c>
      <c r="G43" s="124"/>
      <c r="H43" s="151"/>
    </row>
    <row r="44" spans="1:12" ht="18" customHeight="1" x14ac:dyDescent="0.25">
      <c r="A44" s="193" t="s">
        <v>6</v>
      </c>
      <c r="B44" s="230"/>
      <c r="C44" s="190" t="s">
        <v>5</v>
      </c>
      <c r="D44" s="364" t="s">
        <v>66</v>
      </c>
      <c r="E44" s="206"/>
      <c r="F44" s="202">
        <f>Satser!$C$84</f>
        <v>0</v>
      </c>
      <c r="G44" s="124"/>
      <c r="H44" s="151"/>
    </row>
    <row r="45" spans="1:12" ht="18" customHeight="1" x14ac:dyDescent="0.25">
      <c r="A45" s="193" t="s">
        <v>65</v>
      </c>
      <c r="B45" s="230"/>
      <c r="C45" s="190" t="s">
        <v>5</v>
      </c>
      <c r="D45" s="364" t="s">
        <v>276</v>
      </c>
      <c r="E45" s="206"/>
      <c r="F45" s="202">
        <f>IF($B$42&lt;6,0,IF($B$42&lt;23,$B$42*840,IF($B$42&lt;51,19320-(690*($B$42-23)),0)))</f>
        <v>0</v>
      </c>
      <c r="G45" s="124"/>
      <c r="H45" s="151"/>
    </row>
    <row r="46" spans="1:12" ht="18" customHeight="1" x14ac:dyDescent="0.25">
      <c r="A46" s="193" t="s">
        <v>304</v>
      </c>
      <c r="B46" s="230"/>
      <c r="C46" s="190" t="s">
        <v>5</v>
      </c>
      <c r="D46" s="364" t="s">
        <v>157</v>
      </c>
      <c r="E46" s="207"/>
      <c r="F46" s="202">
        <f>Satser!$J$187</f>
        <v>0</v>
      </c>
      <c r="G46" s="124"/>
      <c r="H46" s="151"/>
    </row>
    <row r="47" spans="1:12" ht="18" customHeight="1" x14ac:dyDescent="0.25">
      <c r="A47" s="193" t="s">
        <v>10</v>
      </c>
      <c r="B47" s="230"/>
      <c r="C47" s="190" t="s">
        <v>5</v>
      </c>
      <c r="D47" s="364" t="s">
        <v>221</v>
      </c>
      <c r="E47" s="207"/>
      <c r="F47" s="202">
        <f>Satser!$C$146</f>
        <v>0</v>
      </c>
      <c r="G47" s="124"/>
      <c r="H47" s="151"/>
    </row>
    <row r="48" spans="1:12" ht="18" customHeight="1" x14ac:dyDescent="0.25">
      <c r="A48" s="193" t="s">
        <v>11</v>
      </c>
      <c r="B48" s="230"/>
      <c r="C48" s="190" t="s">
        <v>5</v>
      </c>
      <c r="D48" s="364" t="s">
        <v>72</v>
      </c>
      <c r="E48" s="207"/>
      <c r="F48" s="202">
        <f>IF($B$42=0,0,IF($B$42&gt;4,Satser!$N$43,Satser!$N$43/5*$B$42))+IF($B$45=0,0,IF($B$45&gt;27,50000,50000/27*$B$45))+IF($B$43&gt;40,Satser!$N$50,IF($B$43&lt;6,0,$B$43*Satser!$N$50/40))</f>
        <v>0</v>
      </c>
      <c r="G48" s="124"/>
      <c r="H48" s="151"/>
    </row>
    <row r="49" spans="1:8" ht="18" customHeight="1" x14ac:dyDescent="0.25">
      <c r="A49" s="193" t="s">
        <v>127</v>
      </c>
      <c r="B49" s="230"/>
      <c r="C49" s="190" t="s">
        <v>5</v>
      </c>
      <c r="D49" s="369" t="s">
        <v>256</v>
      </c>
      <c r="E49" s="203"/>
      <c r="F49" s="202">
        <f>$B$57*270+$B$58*65+$B$55*85+$B$56*10</f>
        <v>0</v>
      </c>
      <c r="G49" s="124"/>
      <c r="H49" s="151"/>
    </row>
    <row r="50" spans="1:8" ht="18" customHeight="1" x14ac:dyDescent="0.25">
      <c r="A50" s="193" t="s">
        <v>300</v>
      </c>
      <c r="B50" s="230"/>
      <c r="C50" s="190" t="s">
        <v>301</v>
      </c>
      <c r="D50" s="364" t="s">
        <v>262</v>
      </c>
      <c r="E50" s="207"/>
      <c r="F50" s="202">
        <v>0</v>
      </c>
      <c r="G50" s="124"/>
      <c r="H50" s="151"/>
    </row>
    <row r="51" spans="1:8" ht="18" customHeight="1" x14ac:dyDescent="0.25">
      <c r="A51" s="193" t="s">
        <v>302</v>
      </c>
      <c r="B51" s="230"/>
      <c r="C51" s="190" t="s">
        <v>303</v>
      </c>
      <c r="D51" s="367" t="s">
        <v>133</v>
      </c>
      <c r="E51" s="211"/>
      <c r="F51" s="212">
        <f>SUM(F43:F50)</f>
        <v>0</v>
      </c>
      <c r="G51" s="124"/>
      <c r="H51" s="151"/>
    </row>
    <row r="52" spans="1:8" ht="21" customHeight="1" x14ac:dyDescent="0.25">
      <c r="A52" s="193" t="s">
        <v>115</v>
      </c>
      <c r="B52" s="230"/>
      <c r="C52" s="190" t="s">
        <v>303</v>
      </c>
      <c r="D52" s="370" t="s">
        <v>353</v>
      </c>
      <c r="E52" s="217"/>
      <c r="F52" s="218">
        <f>F51+F41</f>
        <v>0</v>
      </c>
      <c r="G52" s="124"/>
      <c r="H52" s="151"/>
    </row>
    <row r="53" spans="1:8" ht="18" customHeight="1" x14ac:dyDescent="0.25">
      <c r="A53" s="193" t="s">
        <v>207</v>
      </c>
      <c r="B53" s="230"/>
      <c r="C53" s="190" t="s">
        <v>5</v>
      </c>
      <c r="D53" s="371" t="s">
        <v>202</v>
      </c>
      <c r="E53" s="183"/>
      <c r="F53" s="184"/>
      <c r="G53" s="124"/>
      <c r="H53" s="151"/>
    </row>
    <row r="54" spans="1:8" ht="18" customHeight="1" x14ac:dyDescent="0.25">
      <c r="A54" s="194" t="s">
        <v>238</v>
      </c>
      <c r="B54" s="301"/>
      <c r="C54" s="192" t="s">
        <v>253</v>
      </c>
      <c r="D54" s="372" t="s">
        <v>204</v>
      </c>
      <c r="E54" s="185"/>
      <c r="F54" s="186"/>
      <c r="G54" s="124"/>
      <c r="H54" s="151"/>
    </row>
    <row r="55" spans="1:8" ht="18" customHeight="1" x14ac:dyDescent="0.25">
      <c r="A55" s="193" t="s">
        <v>254</v>
      </c>
      <c r="B55" s="230"/>
      <c r="C55" s="190" t="s">
        <v>5</v>
      </c>
      <c r="D55" s="373" t="s">
        <v>337</v>
      </c>
      <c r="E55" s="208"/>
      <c r="F55" s="209"/>
      <c r="G55" s="124"/>
      <c r="H55" s="151"/>
    </row>
    <row r="56" spans="1:8" ht="15.75" customHeight="1" x14ac:dyDescent="0.25">
      <c r="A56" s="194" t="s">
        <v>255</v>
      </c>
      <c r="B56" s="301"/>
      <c r="C56" s="192" t="s">
        <v>5</v>
      </c>
      <c r="D56" s="364" t="s">
        <v>214</v>
      </c>
      <c r="E56" s="248" t="s">
        <v>366</v>
      </c>
      <c r="F56" s="249">
        <f>0.25*$B$62</f>
        <v>0</v>
      </c>
      <c r="G56" s="124"/>
      <c r="H56" s="151"/>
    </row>
    <row r="57" spans="1:8" ht="16.5" customHeight="1" x14ac:dyDescent="0.35">
      <c r="A57" s="193" t="s">
        <v>239</v>
      </c>
      <c r="B57" s="230"/>
      <c r="C57" s="190" t="s">
        <v>5</v>
      </c>
      <c r="D57" s="364" t="s">
        <v>354</v>
      </c>
      <c r="E57" s="248"/>
      <c r="F57" s="249">
        <f>Satser!M110</f>
        <v>0</v>
      </c>
      <c r="G57" s="124"/>
      <c r="H57" s="151"/>
    </row>
    <row r="58" spans="1:8" ht="15.75" customHeight="1" x14ac:dyDescent="0.25">
      <c r="A58" s="194" t="s">
        <v>240</v>
      </c>
      <c r="B58" s="301"/>
      <c r="C58" s="192" t="s">
        <v>5</v>
      </c>
      <c r="D58" s="364" t="s">
        <v>336</v>
      </c>
      <c r="E58" s="325">
        <v>0</v>
      </c>
      <c r="F58" s="328">
        <v>0</v>
      </c>
      <c r="G58" s="124"/>
      <c r="H58" s="151"/>
    </row>
    <row r="59" spans="1:8" ht="19.5" customHeight="1" x14ac:dyDescent="0.25">
      <c r="A59" s="188" t="s">
        <v>250</v>
      </c>
      <c r="B59" s="300"/>
      <c r="C59" s="190"/>
      <c r="D59" s="364" t="s">
        <v>263</v>
      </c>
      <c r="E59" s="306">
        <v>1.3100000000000001E-2</v>
      </c>
      <c r="F59" s="249">
        <f>E59*$B$63</f>
        <v>0</v>
      </c>
      <c r="G59" s="124"/>
      <c r="H59" s="151"/>
    </row>
    <row r="60" spans="1:8" ht="15.75" customHeight="1" x14ac:dyDescent="0.25">
      <c r="A60" s="193" t="s">
        <v>241</v>
      </c>
      <c r="B60" s="230"/>
      <c r="C60" s="190" t="s">
        <v>5</v>
      </c>
      <c r="D60" s="364" t="s">
        <v>225</v>
      </c>
      <c r="E60" s="227">
        <v>2.5999999999999999E-2</v>
      </c>
      <c r="F60" s="219">
        <f>$B$71*E60</f>
        <v>0</v>
      </c>
      <c r="G60" s="124"/>
      <c r="H60" s="151"/>
    </row>
    <row r="61" spans="1:8" ht="17.25" customHeight="1" x14ac:dyDescent="0.25">
      <c r="A61" s="234" t="s">
        <v>282</v>
      </c>
      <c r="B61" s="236"/>
      <c r="C61" s="237"/>
      <c r="D61" s="367" t="s">
        <v>203</v>
      </c>
      <c r="E61" s="211"/>
      <c r="F61" s="215">
        <f>SUM(F56:F60)</f>
        <v>0</v>
      </c>
      <c r="G61" s="124"/>
      <c r="H61" s="151"/>
    </row>
    <row r="62" spans="1:8" ht="18.75" customHeight="1" x14ac:dyDescent="0.25">
      <c r="A62" s="235" t="s">
        <v>224</v>
      </c>
      <c r="B62" s="199"/>
      <c r="C62" s="237" t="s">
        <v>2</v>
      </c>
      <c r="D62" s="374" t="s">
        <v>352</v>
      </c>
      <c r="E62" s="210"/>
      <c r="F62" s="216">
        <f>F52-F61</f>
        <v>0</v>
      </c>
      <c r="G62" s="124"/>
      <c r="H62" s="151"/>
    </row>
    <row r="63" spans="1:8" ht="20.25" customHeight="1" x14ac:dyDescent="0.25">
      <c r="A63" s="235" t="s">
        <v>279</v>
      </c>
      <c r="B63" s="199"/>
      <c r="C63" s="237" t="s">
        <v>54</v>
      </c>
      <c r="D63" s="375" t="s">
        <v>307</v>
      </c>
      <c r="E63" s="311"/>
      <c r="F63" s="341">
        <f>IF($B$64&gt;354211,0,IF(($B$64+F62)&lt;0,0,IF(($B$64+F62)&lt;93000,(F62*0.22)/(1-0.397),IF(AND(($B$64+F62)&gt;93000,($B$64+F62)&lt;354211),IF($B$64&lt;93000,((93000-$B$64)*0.22)/(1-0.397),(F62*0.38*0.22)/(1-0.397)),IF(AND($B$64&lt;354211,($B$64+F62)&gt;354211),((354211-$B$64)*0.38*0.22)/(1-0.397))))))</f>
        <v>0</v>
      </c>
      <c r="G63" s="124"/>
      <c r="H63" s="151"/>
    </row>
    <row r="64" spans="1:8" ht="18.75" customHeight="1" x14ac:dyDescent="0.25">
      <c r="A64" s="235" t="s">
        <v>308</v>
      </c>
      <c r="B64" s="199"/>
      <c r="C64" s="237" t="s">
        <v>54</v>
      </c>
      <c r="D64" s="376" t="s">
        <v>356</v>
      </c>
      <c r="E64" s="217"/>
      <c r="F64" s="342">
        <f>F62+F63</f>
        <v>0</v>
      </c>
      <c r="G64" s="124"/>
      <c r="H64" s="151"/>
    </row>
    <row r="65" spans="1:8" ht="18.75" customHeight="1" thickBot="1" x14ac:dyDescent="0.3">
      <c r="A65" s="326" t="s">
        <v>280</v>
      </c>
      <c r="B65" s="229"/>
      <c r="C65" s="327" t="s">
        <v>281</v>
      </c>
      <c r="D65" s="377" t="s">
        <v>284</v>
      </c>
      <c r="E65" s="378"/>
      <c r="F65" s="379" t="str">
        <f>IF($B$65="","",$F$64/$B$65)</f>
        <v/>
      </c>
      <c r="G65" s="124"/>
      <c r="H65" s="151"/>
    </row>
    <row r="66" spans="1:8" ht="19.5" customHeight="1" x14ac:dyDescent="0.25">
      <c r="A66" s="234" t="s">
        <v>340</v>
      </c>
      <c r="B66" s="199"/>
      <c r="C66" s="354"/>
      <c r="D66" s="357" t="s">
        <v>355</v>
      </c>
      <c r="E66" s="333"/>
      <c r="F66" s="334"/>
      <c r="G66" s="124"/>
      <c r="H66" s="151"/>
    </row>
    <row r="67" spans="1:8" ht="15.75" customHeight="1" x14ac:dyDescent="0.25">
      <c r="A67" s="235" t="s">
        <v>341</v>
      </c>
      <c r="B67" s="199"/>
      <c r="C67" s="354" t="s">
        <v>2</v>
      </c>
      <c r="D67" s="358" t="s">
        <v>64</v>
      </c>
      <c r="E67" s="124"/>
      <c r="F67" s="173"/>
      <c r="G67" s="124"/>
      <c r="H67" s="151"/>
    </row>
    <row r="68" spans="1:8" ht="15.75" customHeight="1" x14ac:dyDescent="0.25">
      <c r="A68" s="235" t="s">
        <v>342</v>
      </c>
      <c r="B68" s="199"/>
      <c r="C68" s="354" t="s">
        <v>2</v>
      </c>
      <c r="D68" s="358" t="s">
        <v>258</v>
      </c>
      <c r="E68" s="124"/>
      <c r="F68" s="162"/>
      <c r="G68" s="124"/>
      <c r="H68" s="151"/>
    </row>
    <row r="69" spans="1:8" ht="15.75" customHeight="1" x14ac:dyDescent="0.25">
      <c r="A69" s="235" t="s">
        <v>343</v>
      </c>
      <c r="B69" s="351"/>
      <c r="C69" s="354" t="s">
        <v>345</v>
      </c>
      <c r="D69" s="358" t="s">
        <v>362</v>
      </c>
      <c r="E69" s="148"/>
      <c r="F69" s="162"/>
      <c r="G69" s="124"/>
      <c r="H69" s="151"/>
    </row>
    <row r="70" spans="1:8" ht="15.75" customHeight="1" x14ac:dyDescent="0.25">
      <c r="A70" s="326" t="s">
        <v>344</v>
      </c>
      <c r="B70" s="352"/>
      <c r="C70" s="355" t="s">
        <v>345</v>
      </c>
      <c r="D70" s="380" t="s">
        <v>374</v>
      </c>
      <c r="E70" s="148"/>
      <c r="F70" s="162"/>
      <c r="G70" s="124"/>
      <c r="H70" s="151"/>
    </row>
    <row r="71" spans="1:8" ht="28.5" customHeight="1" thickBot="1" x14ac:dyDescent="0.3">
      <c r="A71" s="303" t="s">
        <v>338</v>
      </c>
      <c r="B71" s="233"/>
      <c r="C71" s="356" t="s">
        <v>200</v>
      </c>
      <c r="D71" s="381" t="s">
        <v>375</v>
      </c>
      <c r="E71" s="153"/>
      <c r="F71" s="245"/>
      <c r="G71" s="124"/>
      <c r="H71" s="151"/>
    </row>
    <row r="72" spans="1:8" ht="15.75" customHeight="1" thickBot="1" x14ac:dyDescent="0.25">
      <c r="A72" s="238"/>
      <c r="B72" s="238"/>
      <c r="C72" s="238"/>
      <c r="G72" s="153"/>
      <c r="H72" s="154"/>
    </row>
    <row r="73" spans="1:8" ht="15.75" customHeight="1" x14ac:dyDescent="0.2">
      <c r="A73" s="238"/>
      <c r="B73" s="238"/>
      <c r="C73" s="238"/>
      <c r="D73" s="164"/>
      <c r="E73" s="164"/>
      <c r="F73" s="164"/>
    </row>
    <row r="74" spans="1:8" x14ac:dyDescent="0.2">
      <c r="A74" s="238"/>
      <c r="B74" s="238"/>
      <c r="C74" s="238"/>
      <c r="D74" s="164"/>
      <c r="E74" s="164"/>
      <c r="F74" s="164"/>
    </row>
    <row r="75" spans="1:8" x14ac:dyDescent="0.2">
      <c r="E75" s="160"/>
    </row>
    <row r="99" spans="4:8" s="174" customFormat="1" x14ac:dyDescent="0.2">
      <c r="F99" s="310"/>
    </row>
    <row r="105" spans="4:8" x14ac:dyDescent="0.2">
      <c r="D105" s="176"/>
    </row>
    <row r="108" spans="4:8" ht="17.25" customHeight="1" x14ac:dyDescent="0.2">
      <c r="G108" s="149"/>
      <c r="H108" s="150"/>
    </row>
    <row r="109" spans="4:8" ht="17.25" customHeight="1" x14ac:dyDescent="0.2">
      <c r="G109" s="149"/>
      <c r="H109" s="150"/>
    </row>
    <row r="110" spans="4:8" ht="17.25" customHeight="1" x14ac:dyDescent="0.2">
      <c r="G110" s="152"/>
      <c r="H110" s="150"/>
    </row>
    <row r="111" spans="4:8" ht="15.75" customHeight="1" x14ac:dyDescent="0.2">
      <c r="G111" s="139"/>
      <c r="H111" s="130">
        <v>500</v>
      </c>
    </row>
    <row r="112" spans="4:8" ht="15.75" customHeight="1" x14ac:dyDescent="0.2">
      <c r="G112" s="143"/>
      <c r="H112" s="142" t="e">
        <f>SUM(H22:H111)</f>
        <v>#REF!</v>
      </c>
    </row>
    <row r="113" spans="7:8" ht="17.25" customHeight="1" x14ac:dyDescent="0.2">
      <c r="G113" s="124"/>
      <c r="H113" s="151"/>
    </row>
    <row r="118" spans="7:8" ht="17.25" customHeight="1" x14ac:dyDescent="0.2">
      <c r="G118" s="124"/>
      <c r="H118" s="151"/>
    </row>
    <row r="119" spans="7:8" ht="15.75" customHeight="1" x14ac:dyDescent="0.2">
      <c r="G119" s="124"/>
      <c r="H119" s="151"/>
    </row>
    <row r="120" spans="7:8" ht="15.75" customHeight="1" x14ac:dyDescent="0.2">
      <c r="G120" s="124"/>
      <c r="H120" s="151"/>
    </row>
    <row r="121" spans="7:8" ht="15.75" customHeight="1" x14ac:dyDescent="0.2">
      <c r="G121" s="124"/>
      <c r="H121" s="151"/>
    </row>
    <row r="122" spans="7:8" ht="15.75" customHeight="1" x14ac:dyDescent="0.2">
      <c r="G122" s="124"/>
      <c r="H122" s="151"/>
    </row>
    <row r="123" spans="7:8" ht="15.75" customHeight="1" x14ac:dyDescent="0.2">
      <c r="G123" s="139" t="s">
        <v>164</v>
      </c>
      <c r="H123" s="130" t="e">
        <f>#REF!*0+#REF!*0</f>
        <v>#REF!</v>
      </c>
    </row>
    <row r="124" spans="7:8" ht="15.75" customHeight="1" x14ac:dyDescent="0.2">
      <c r="G124" s="124"/>
      <c r="H124" s="151"/>
    </row>
    <row r="125" spans="7:8" ht="12.75" customHeight="1" x14ac:dyDescent="0.2">
      <c r="G125" s="129">
        <v>0</v>
      </c>
      <c r="H125" s="130" t="e">
        <f>#REF!*G125</f>
        <v>#REF!</v>
      </c>
    </row>
    <row r="126" spans="7:8" ht="16.5" customHeight="1" x14ac:dyDescent="0.2">
      <c r="G126" s="129">
        <v>-0.8</v>
      </c>
      <c r="H126" s="130">
        <f>B16*G126</f>
        <v>0</v>
      </c>
    </row>
    <row r="127" spans="7:8" ht="12.75" customHeight="1" x14ac:dyDescent="0.2">
      <c r="G127" s="129">
        <v>3</v>
      </c>
      <c r="H127" s="130">
        <f>B17*G127</f>
        <v>0</v>
      </c>
    </row>
    <row r="146" spans="1:3" x14ac:dyDescent="0.2">
      <c r="A146" s="238"/>
      <c r="B146" s="238"/>
      <c r="C146" s="238"/>
    </row>
    <row r="147" spans="1:3" x14ac:dyDescent="0.2">
      <c r="A147" s="238"/>
      <c r="B147" s="238"/>
      <c r="C147" s="238"/>
    </row>
    <row r="148" spans="1:3" x14ac:dyDescent="0.2">
      <c r="A148" s="238"/>
      <c r="B148" s="238"/>
      <c r="C148" s="238"/>
    </row>
    <row r="149" spans="1:3" x14ac:dyDescent="0.2">
      <c r="A149" s="238"/>
      <c r="B149" s="238"/>
      <c r="C149" s="238"/>
    </row>
    <row r="150" spans="1:3" x14ac:dyDescent="0.2">
      <c r="A150" s="238"/>
      <c r="B150" s="238"/>
      <c r="C150" s="238"/>
    </row>
    <row r="151" spans="1:3" x14ac:dyDescent="0.2">
      <c r="A151" s="238"/>
      <c r="B151" s="238"/>
      <c r="C151" s="238"/>
    </row>
    <row r="152" spans="1:3" x14ac:dyDescent="0.2">
      <c r="A152" s="238"/>
      <c r="B152" s="238"/>
      <c r="C152" s="238"/>
    </row>
    <row r="153" spans="1:3" x14ac:dyDescent="0.2">
      <c r="A153" s="238"/>
      <c r="B153" s="238"/>
      <c r="C153" s="238"/>
    </row>
    <row r="154" spans="1:3" x14ac:dyDescent="0.2">
      <c r="A154" s="238"/>
      <c r="B154" s="238"/>
      <c r="C154" s="238"/>
    </row>
    <row r="155" spans="1:3" x14ac:dyDescent="0.2">
      <c r="A155" s="238"/>
      <c r="B155" s="238"/>
      <c r="C155" s="238"/>
    </row>
    <row r="156" spans="1:3" x14ac:dyDescent="0.2">
      <c r="A156" s="238"/>
      <c r="B156" s="238"/>
      <c r="C156" s="238"/>
    </row>
    <row r="157" spans="1:3" x14ac:dyDescent="0.2">
      <c r="A157" s="238"/>
      <c r="B157" s="238"/>
      <c r="C157" s="238"/>
    </row>
    <row r="158" spans="1:3" x14ac:dyDescent="0.2">
      <c r="A158" s="238"/>
      <c r="B158" s="238"/>
      <c r="C158" s="238"/>
    </row>
    <row r="159" spans="1:3" x14ac:dyDescent="0.2">
      <c r="A159" s="238"/>
      <c r="B159" s="238"/>
      <c r="C159" s="238"/>
    </row>
    <row r="160" spans="1:3" x14ac:dyDescent="0.2">
      <c r="A160" s="238"/>
      <c r="B160" s="238"/>
      <c r="C160" s="238"/>
    </row>
    <row r="161" spans="1:3" x14ac:dyDescent="0.2">
      <c r="A161" s="238"/>
      <c r="B161" s="238"/>
      <c r="C161" s="238"/>
    </row>
    <row r="162" spans="1:3" x14ac:dyDescent="0.2">
      <c r="A162" s="238"/>
      <c r="B162" s="238"/>
      <c r="C162" s="238"/>
    </row>
    <row r="163" spans="1:3" x14ac:dyDescent="0.2">
      <c r="A163" s="238"/>
      <c r="B163" s="238"/>
      <c r="C163" s="238"/>
    </row>
    <row r="164" spans="1:3" x14ac:dyDescent="0.2">
      <c r="A164" s="238"/>
      <c r="B164" s="238"/>
      <c r="C164" s="238"/>
    </row>
    <row r="165" spans="1:3" x14ac:dyDescent="0.2">
      <c r="A165" s="238"/>
      <c r="B165" s="238"/>
      <c r="C165" s="238"/>
    </row>
    <row r="166" spans="1:3" x14ac:dyDescent="0.2">
      <c r="A166" s="238"/>
      <c r="B166" s="238"/>
      <c r="C166" s="238"/>
    </row>
    <row r="167" spans="1:3" x14ac:dyDescent="0.2">
      <c r="A167" s="238"/>
      <c r="B167" s="238"/>
      <c r="C167" s="238"/>
    </row>
    <row r="168" spans="1:3" x14ac:dyDescent="0.2">
      <c r="A168" s="238"/>
      <c r="B168" s="238"/>
      <c r="C168" s="238"/>
    </row>
    <row r="169" spans="1:3" x14ac:dyDescent="0.2">
      <c r="A169" s="238"/>
      <c r="B169" s="238"/>
      <c r="C169" s="238"/>
    </row>
    <row r="170" spans="1:3" x14ac:dyDescent="0.2">
      <c r="A170" s="238"/>
      <c r="B170" s="238"/>
      <c r="C170" s="238"/>
    </row>
    <row r="171" spans="1:3" x14ac:dyDescent="0.2">
      <c r="A171" s="238"/>
      <c r="B171" s="238"/>
      <c r="C171" s="238"/>
    </row>
    <row r="172" spans="1:3" x14ac:dyDescent="0.2">
      <c r="A172" s="238"/>
      <c r="B172" s="238"/>
      <c r="C172" s="238"/>
    </row>
    <row r="173" spans="1:3" x14ac:dyDescent="0.2">
      <c r="A173" s="238"/>
      <c r="B173" s="238"/>
      <c r="C173" s="238"/>
    </row>
    <row r="174" spans="1:3" x14ac:dyDescent="0.2">
      <c r="A174" s="238"/>
      <c r="B174" s="238"/>
      <c r="C174" s="238"/>
    </row>
    <row r="175" spans="1:3" x14ac:dyDescent="0.2">
      <c r="A175" s="238"/>
      <c r="B175" s="238"/>
      <c r="C175" s="238"/>
    </row>
    <row r="176" spans="1:3" x14ac:dyDescent="0.2">
      <c r="A176" s="238"/>
      <c r="B176" s="238"/>
      <c r="C176" s="238"/>
    </row>
    <row r="177" spans="1:3" x14ac:dyDescent="0.2">
      <c r="A177" s="238"/>
      <c r="B177" s="238"/>
      <c r="C177" s="238"/>
    </row>
    <row r="178" spans="1:3" x14ac:dyDescent="0.2">
      <c r="A178" s="238"/>
      <c r="B178" s="238"/>
      <c r="C178" s="238"/>
    </row>
    <row r="179" spans="1:3" x14ac:dyDescent="0.2">
      <c r="A179" s="238"/>
      <c r="B179" s="238"/>
      <c r="C179" s="238"/>
    </row>
    <row r="180" spans="1:3" x14ac:dyDescent="0.2">
      <c r="A180" s="238"/>
      <c r="B180" s="238"/>
      <c r="C180" s="238"/>
    </row>
    <row r="181" spans="1:3" x14ac:dyDescent="0.2">
      <c r="A181" s="238"/>
      <c r="B181" s="238"/>
      <c r="C181" s="238"/>
    </row>
    <row r="182" spans="1:3" x14ac:dyDescent="0.2">
      <c r="A182" s="238"/>
      <c r="B182" s="238"/>
      <c r="C182" s="238"/>
    </row>
    <row r="183" spans="1:3" x14ac:dyDescent="0.2">
      <c r="A183" s="238"/>
      <c r="B183" s="238"/>
      <c r="C183" s="238"/>
    </row>
    <row r="184" spans="1:3" x14ac:dyDescent="0.2">
      <c r="A184" s="238"/>
      <c r="B184" s="238"/>
      <c r="C184" s="238"/>
    </row>
    <row r="185" spans="1:3" x14ac:dyDescent="0.2">
      <c r="A185" s="238"/>
      <c r="B185" s="238"/>
      <c r="C185" s="238"/>
    </row>
    <row r="186" spans="1:3" x14ac:dyDescent="0.2">
      <c r="A186" s="238"/>
      <c r="B186" s="238"/>
      <c r="C186" s="238"/>
    </row>
    <row r="187" spans="1:3" x14ac:dyDescent="0.2">
      <c r="A187" s="238"/>
      <c r="B187" s="238"/>
      <c r="C187" s="238"/>
    </row>
    <row r="188" spans="1:3" x14ac:dyDescent="0.2">
      <c r="A188" s="238"/>
      <c r="B188" s="238"/>
      <c r="C188" s="238"/>
    </row>
    <row r="189" spans="1:3" x14ac:dyDescent="0.2">
      <c r="A189" s="238"/>
      <c r="B189" s="238"/>
      <c r="C189" s="238"/>
    </row>
    <row r="190" spans="1:3" x14ac:dyDescent="0.2">
      <c r="A190" s="238"/>
      <c r="B190" s="238"/>
      <c r="C190" s="238"/>
    </row>
    <row r="191" spans="1:3" x14ac:dyDescent="0.2">
      <c r="A191" s="238"/>
      <c r="B191" s="238"/>
      <c r="C191" s="238"/>
    </row>
    <row r="192" spans="1:3" x14ac:dyDescent="0.2">
      <c r="A192" s="238"/>
      <c r="B192" s="238"/>
      <c r="C192" s="238"/>
    </row>
    <row r="193" spans="1:3" x14ac:dyDescent="0.2">
      <c r="A193" s="238"/>
      <c r="B193" s="238"/>
      <c r="C193" s="238"/>
    </row>
    <row r="194" spans="1:3" x14ac:dyDescent="0.2">
      <c r="A194" s="238"/>
      <c r="B194" s="238"/>
      <c r="C194" s="238"/>
    </row>
    <row r="195" spans="1:3" x14ac:dyDescent="0.2">
      <c r="A195" s="238"/>
      <c r="B195" s="238"/>
      <c r="C195" s="238"/>
    </row>
    <row r="196" spans="1:3" x14ac:dyDescent="0.2">
      <c r="A196" s="238"/>
      <c r="B196" s="238"/>
      <c r="C196" s="238"/>
    </row>
    <row r="197" spans="1:3" x14ac:dyDescent="0.2">
      <c r="A197" s="238"/>
      <c r="B197" s="238"/>
      <c r="C197" s="238"/>
    </row>
    <row r="198" spans="1:3" x14ac:dyDescent="0.2">
      <c r="A198" s="238"/>
      <c r="B198" s="238"/>
      <c r="C198" s="238"/>
    </row>
    <row r="199" spans="1:3" x14ac:dyDescent="0.2">
      <c r="A199" s="238"/>
      <c r="B199" s="238"/>
      <c r="C199" s="238"/>
    </row>
    <row r="200" spans="1:3" x14ac:dyDescent="0.2">
      <c r="A200" s="238"/>
      <c r="B200" s="238"/>
      <c r="C200" s="238"/>
    </row>
    <row r="201" spans="1:3" x14ac:dyDescent="0.2">
      <c r="A201" s="238"/>
      <c r="B201" s="238"/>
      <c r="C201" s="238"/>
    </row>
    <row r="202" spans="1:3" x14ac:dyDescent="0.2">
      <c r="A202" s="238"/>
      <c r="B202" s="238"/>
      <c r="C202" s="238"/>
    </row>
    <row r="203" spans="1:3" x14ac:dyDescent="0.2">
      <c r="A203" s="238"/>
      <c r="B203" s="238"/>
      <c r="C203" s="238"/>
    </row>
    <row r="204" spans="1:3" x14ac:dyDescent="0.2">
      <c r="A204" s="238"/>
      <c r="B204" s="238"/>
      <c r="C204" s="238"/>
    </row>
    <row r="205" spans="1:3" x14ac:dyDescent="0.2">
      <c r="A205" s="238"/>
      <c r="B205" s="238"/>
      <c r="C205" s="238"/>
    </row>
    <row r="206" spans="1:3" x14ac:dyDescent="0.2">
      <c r="A206" s="238"/>
      <c r="B206" s="238"/>
      <c r="C206" s="238"/>
    </row>
    <row r="207" spans="1:3" x14ac:dyDescent="0.2">
      <c r="A207" s="238"/>
      <c r="B207" s="238"/>
      <c r="C207" s="238"/>
    </row>
    <row r="208" spans="1:3" x14ac:dyDescent="0.2">
      <c r="A208" s="238"/>
      <c r="B208" s="238"/>
      <c r="C208" s="238"/>
    </row>
    <row r="209" spans="1:3" x14ac:dyDescent="0.2">
      <c r="A209" s="238"/>
      <c r="B209" s="238"/>
      <c r="C209" s="238"/>
    </row>
    <row r="210" spans="1:3" x14ac:dyDescent="0.2">
      <c r="A210" s="238"/>
      <c r="B210" s="238"/>
      <c r="C210" s="238"/>
    </row>
    <row r="211" spans="1:3" x14ac:dyDescent="0.2">
      <c r="A211" s="238"/>
      <c r="B211" s="238"/>
      <c r="C211" s="238"/>
    </row>
    <row r="212" spans="1:3" x14ac:dyDescent="0.2">
      <c r="A212" s="238"/>
      <c r="B212" s="238"/>
      <c r="C212" s="238"/>
    </row>
    <row r="213" spans="1:3" x14ac:dyDescent="0.2">
      <c r="A213" s="238"/>
      <c r="B213" s="238"/>
      <c r="C213" s="238"/>
    </row>
    <row r="214" spans="1:3" x14ac:dyDescent="0.2">
      <c r="A214" s="238"/>
      <c r="B214" s="238"/>
      <c r="C214" s="238"/>
    </row>
    <row r="215" spans="1:3" x14ac:dyDescent="0.2">
      <c r="A215" s="238"/>
      <c r="B215" s="238"/>
      <c r="C215" s="238"/>
    </row>
    <row r="216" spans="1:3" x14ac:dyDescent="0.2">
      <c r="A216" s="238"/>
      <c r="B216" s="238"/>
      <c r="C216" s="238"/>
    </row>
    <row r="217" spans="1:3" x14ac:dyDescent="0.2">
      <c r="A217" s="238"/>
      <c r="B217" s="238"/>
      <c r="C217" s="238"/>
    </row>
    <row r="218" spans="1:3" x14ac:dyDescent="0.2">
      <c r="A218" s="238"/>
      <c r="B218" s="238"/>
      <c r="C218" s="238"/>
    </row>
    <row r="219" spans="1:3" x14ac:dyDescent="0.2">
      <c r="A219" s="238"/>
      <c r="B219" s="238"/>
      <c r="C219" s="238"/>
    </row>
    <row r="220" spans="1:3" x14ac:dyDescent="0.2">
      <c r="A220" s="238"/>
      <c r="B220" s="238"/>
      <c r="C220" s="238"/>
    </row>
    <row r="221" spans="1:3" x14ac:dyDescent="0.2">
      <c r="A221" s="238"/>
      <c r="B221" s="238"/>
      <c r="C221" s="238"/>
    </row>
    <row r="222" spans="1:3" x14ac:dyDescent="0.2">
      <c r="A222" s="238"/>
      <c r="B222" s="238"/>
      <c r="C222" s="238"/>
    </row>
    <row r="223" spans="1:3" x14ac:dyDescent="0.2">
      <c r="A223" s="238"/>
      <c r="B223" s="238"/>
      <c r="C223" s="238"/>
    </row>
    <row r="224" spans="1:3" x14ac:dyDescent="0.2">
      <c r="A224" s="238"/>
      <c r="B224" s="238"/>
      <c r="C224" s="238"/>
    </row>
    <row r="225" spans="1:3" x14ac:dyDescent="0.2">
      <c r="A225" s="238"/>
      <c r="B225" s="238"/>
      <c r="C225" s="238"/>
    </row>
    <row r="226" spans="1:3" x14ac:dyDescent="0.2">
      <c r="A226" s="238"/>
      <c r="B226" s="238"/>
      <c r="C226" s="238"/>
    </row>
    <row r="227" spans="1:3" x14ac:dyDescent="0.2">
      <c r="A227" s="238"/>
      <c r="B227" s="238"/>
      <c r="C227" s="238"/>
    </row>
    <row r="228" spans="1:3" x14ac:dyDescent="0.2">
      <c r="A228" s="238"/>
      <c r="B228" s="238"/>
      <c r="C228" s="238"/>
    </row>
    <row r="229" spans="1:3" x14ac:dyDescent="0.2">
      <c r="A229" s="238"/>
      <c r="B229" s="238"/>
      <c r="C229" s="238"/>
    </row>
    <row r="230" spans="1:3" x14ac:dyDescent="0.2">
      <c r="A230" s="238"/>
      <c r="B230" s="238"/>
      <c r="C230" s="238"/>
    </row>
    <row r="231" spans="1:3" x14ac:dyDescent="0.2">
      <c r="A231" s="238"/>
      <c r="B231" s="238"/>
      <c r="C231" s="238"/>
    </row>
    <row r="232" spans="1:3" x14ac:dyDescent="0.2">
      <c r="A232" s="238"/>
      <c r="B232" s="238"/>
      <c r="C232" s="238"/>
    </row>
    <row r="233" spans="1:3" x14ac:dyDescent="0.2">
      <c r="A233" s="238"/>
      <c r="B233" s="238"/>
      <c r="C233" s="238"/>
    </row>
    <row r="234" spans="1:3" x14ac:dyDescent="0.2">
      <c r="A234" s="238"/>
      <c r="B234" s="238"/>
      <c r="C234" s="238"/>
    </row>
    <row r="235" spans="1:3" x14ac:dyDescent="0.2">
      <c r="A235" s="238"/>
      <c r="B235" s="238"/>
      <c r="C235" s="238"/>
    </row>
    <row r="236" spans="1:3" x14ac:dyDescent="0.2">
      <c r="A236" s="238"/>
      <c r="B236" s="238"/>
      <c r="C236" s="238"/>
    </row>
    <row r="237" spans="1:3" x14ac:dyDescent="0.2">
      <c r="A237" s="238"/>
      <c r="B237" s="238"/>
      <c r="C237" s="238"/>
    </row>
    <row r="238" spans="1:3" x14ac:dyDescent="0.2">
      <c r="A238" s="238"/>
      <c r="B238" s="238"/>
      <c r="C238" s="238"/>
    </row>
    <row r="239" spans="1:3" x14ac:dyDescent="0.2">
      <c r="A239" s="238"/>
      <c r="B239" s="238"/>
      <c r="C239" s="238"/>
    </row>
    <row r="240" spans="1:3" x14ac:dyDescent="0.2">
      <c r="A240" s="238"/>
      <c r="B240" s="238"/>
      <c r="C240" s="238"/>
    </row>
    <row r="241" spans="1:3" x14ac:dyDescent="0.2">
      <c r="A241" s="238"/>
      <c r="B241" s="238"/>
      <c r="C241" s="238"/>
    </row>
    <row r="242" spans="1:3" x14ac:dyDescent="0.2">
      <c r="A242" s="238"/>
      <c r="B242" s="238"/>
      <c r="C242" s="238"/>
    </row>
    <row r="243" spans="1:3" x14ac:dyDescent="0.2">
      <c r="A243" s="238"/>
      <c r="B243" s="238"/>
      <c r="C243" s="238"/>
    </row>
    <row r="244" spans="1:3" x14ac:dyDescent="0.2">
      <c r="A244" s="238"/>
      <c r="B244" s="238"/>
      <c r="C244" s="238"/>
    </row>
    <row r="245" spans="1:3" x14ac:dyDescent="0.2">
      <c r="A245" s="238"/>
      <c r="B245" s="238"/>
      <c r="C245" s="238"/>
    </row>
    <row r="246" spans="1:3" x14ac:dyDescent="0.2">
      <c r="A246" s="238"/>
      <c r="B246" s="238"/>
      <c r="C246" s="238"/>
    </row>
    <row r="247" spans="1:3" x14ac:dyDescent="0.2">
      <c r="A247" s="238"/>
      <c r="B247" s="238"/>
      <c r="C247" s="238"/>
    </row>
    <row r="248" spans="1:3" x14ac:dyDescent="0.2">
      <c r="A248" s="238"/>
      <c r="B248" s="238"/>
      <c r="C248" s="238"/>
    </row>
    <row r="249" spans="1:3" x14ac:dyDescent="0.2">
      <c r="A249" s="238"/>
      <c r="B249" s="238"/>
      <c r="C249" s="238"/>
    </row>
    <row r="250" spans="1:3" x14ac:dyDescent="0.2">
      <c r="A250" s="238"/>
      <c r="B250" s="238"/>
      <c r="C250" s="238"/>
    </row>
    <row r="251" spans="1:3" x14ac:dyDescent="0.2">
      <c r="A251" s="238"/>
      <c r="B251" s="238"/>
      <c r="C251" s="238"/>
    </row>
    <row r="252" spans="1:3" x14ac:dyDescent="0.2">
      <c r="A252" s="238"/>
      <c r="B252" s="238"/>
      <c r="C252" s="238"/>
    </row>
    <row r="253" spans="1:3" x14ac:dyDescent="0.2">
      <c r="A253" s="238"/>
      <c r="B253" s="238"/>
      <c r="C253" s="238"/>
    </row>
    <row r="254" spans="1:3" x14ac:dyDescent="0.2">
      <c r="A254" s="238"/>
      <c r="B254" s="238"/>
      <c r="C254" s="238"/>
    </row>
    <row r="255" spans="1:3" x14ac:dyDescent="0.2">
      <c r="A255" s="238"/>
      <c r="B255" s="238"/>
      <c r="C255" s="238"/>
    </row>
    <row r="256" spans="1:3" x14ac:dyDescent="0.2">
      <c r="A256" s="238"/>
      <c r="B256" s="238"/>
      <c r="C256" s="238"/>
    </row>
    <row r="257" spans="1:3" x14ac:dyDescent="0.2">
      <c r="A257" s="238"/>
      <c r="B257" s="238"/>
      <c r="C257" s="238"/>
    </row>
    <row r="258" spans="1:3" x14ac:dyDescent="0.2">
      <c r="A258" s="238"/>
      <c r="B258" s="238"/>
      <c r="C258" s="238"/>
    </row>
    <row r="259" spans="1:3" x14ac:dyDescent="0.2">
      <c r="A259" s="238"/>
      <c r="B259" s="238"/>
      <c r="C259" s="238"/>
    </row>
    <row r="260" spans="1:3" x14ac:dyDescent="0.2">
      <c r="A260" s="238"/>
      <c r="B260" s="238"/>
      <c r="C260" s="238"/>
    </row>
    <row r="261" spans="1:3" x14ac:dyDescent="0.2">
      <c r="A261" s="238"/>
      <c r="B261" s="238"/>
      <c r="C261" s="238"/>
    </row>
    <row r="262" spans="1:3" x14ac:dyDescent="0.2">
      <c r="A262" s="238"/>
      <c r="B262" s="238"/>
      <c r="C262" s="238"/>
    </row>
    <row r="263" spans="1:3" x14ac:dyDescent="0.2">
      <c r="A263" s="238"/>
      <c r="B263" s="238"/>
      <c r="C263" s="238"/>
    </row>
    <row r="264" spans="1:3" x14ac:dyDescent="0.2">
      <c r="A264" s="238"/>
      <c r="B264" s="238"/>
      <c r="C264" s="238"/>
    </row>
    <row r="265" spans="1:3" x14ac:dyDescent="0.2">
      <c r="A265" s="238"/>
      <c r="B265" s="238"/>
      <c r="C265" s="238"/>
    </row>
    <row r="266" spans="1:3" x14ac:dyDescent="0.2">
      <c r="A266" s="238"/>
      <c r="B266" s="238"/>
      <c r="C266" s="238"/>
    </row>
    <row r="267" spans="1:3" x14ac:dyDescent="0.2">
      <c r="A267" s="238"/>
      <c r="B267" s="238"/>
      <c r="C267" s="238"/>
    </row>
    <row r="268" spans="1:3" x14ac:dyDescent="0.2">
      <c r="A268" s="238"/>
      <c r="B268" s="238"/>
      <c r="C268" s="238"/>
    </row>
    <row r="269" spans="1:3" x14ac:dyDescent="0.2">
      <c r="A269" s="238"/>
      <c r="B269" s="238"/>
      <c r="C269" s="238"/>
    </row>
    <row r="270" spans="1:3" x14ac:dyDescent="0.2">
      <c r="A270" s="238"/>
      <c r="B270" s="238"/>
      <c r="C270" s="238"/>
    </row>
    <row r="271" spans="1:3" x14ac:dyDescent="0.2">
      <c r="A271" s="238"/>
      <c r="B271" s="238"/>
      <c r="C271" s="238"/>
    </row>
    <row r="272" spans="1:3" x14ac:dyDescent="0.2">
      <c r="A272" s="238"/>
      <c r="B272" s="238"/>
      <c r="C272" s="238"/>
    </row>
    <row r="273" spans="1:3" x14ac:dyDescent="0.2">
      <c r="A273" s="238"/>
      <c r="B273" s="238"/>
      <c r="C273" s="238"/>
    </row>
    <row r="274" spans="1:3" x14ac:dyDescent="0.2">
      <c r="A274" s="238"/>
      <c r="B274" s="238"/>
      <c r="C274" s="238"/>
    </row>
    <row r="275" spans="1:3" x14ac:dyDescent="0.2">
      <c r="A275" s="238"/>
      <c r="B275" s="238"/>
      <c r="C275" s="238"/>
    </row>
    <row r="276" spans="1:3" x14ac:dyDescent="0.2">
      <c r="A276" s="238"/>
      <c r="B276" s="238"/>
      <c r="C276" s="238"/>
    </row>
    <row r="277" spans="1:3" x14ac:dyDescent="0.2">
      <c r="A277" s="238"/>
      <c r="B277" s="238"/>
      <c r="C277" s="238"/>
    </row>
    <row r="278" spans="1:3" x14ac:dyDescent="0.2">
      <c r="A278" s="238"/>
      <c r="B278" s="238"/>
      <c r="C278" s="238"/>
    </row>
    <row r="279" spans="1:3" x14ac:dyDescent="0.2">
      <c r="A279" s="238"/>
      <c r="B279" s="238"/>
      <c r="C279" s="238"/>
    </row>
    <row r="280" spans="1:3" x14ac:dyDescent="0.2">
      <c r="A280" s="238"/>
      <c r="B280" s="238"/>
      <c r="C280" s="238"/>
    </row>
    <row r="281" spans="1:3" x14ac:dyDescent="0.2">
      <c r="A281" s="238"/>
      <c r="B281" s="238"/>
      <c r="C281" s="238"/>
    </row>
    <row r="282" spans="1:3" x14ac:dyDescent="0.2">
      <c r="A282" s="238"/>
      <c r="B282" s="238"/>
      <c r="C282" s="238"/>
    </row>
    <row r="283" spans="1:3" x14ac:dyDescent="0.2">
      <c r="A283" s="238"/>
      <c r="B283" s="238"/>
      <c r="C283" s="238"/>
    </row>
    <row r="284" spans="1:3" x14ac:dyDescent="0.2">
      <c r="A284" s="238"/>
      <c r="B284" s="238"/>
      <c r="C284" s="238"/>
    </row>
    <row r="285" spans="1:3" x14ac:dyDescent="0.2">
      <c r="A285" s="238"/>
      <c r="B285" s="238"/>
      <c r="C285" s="238"/>
    </row>
    <row r="286" spans="1:3" x14ac:dyDescent="0.2">
      <c r="A286" s="238"/>
      <c r="B286" s="238"/>
      <c r="C286" s="238"/>
    </row>
    <row r="287" spans="1:3" x14ac:dyDescent="0.2">
      <c r="A287" s="238"/>
      <c r="B287" s="238"/>
      <c r="C287" s="238"/>
    </row>
    <row r="288" spans="1:3" x14ac:dyDescent="0.2">
      <c r="A288" s="238"/>
      <c r="B288" s="238"/>
      <c r="C288" s="238"/>
    </row>
    <row r="289" spans="1:3" x14ac:dyDescent="0.2">
      <c r="A289" s="238"/>
      <c r="B289" s="238"/>
      <c r="C289" s="238"/>
    </row>
    <row r="290" spans="1:3" x14ac:dyDescent="0.2">
      <c r="A290" s="238"/>
      <c r="B290" s="238"/>
      <c r="C290" s="238"/>
    </row>
    <row r="291" spans="1:3" x14ac:dyDescent="0.2">
      <c r="A291" s="238"/>
      <c r="B291" s="238"/>
      <c r="C291" s="238"/>
    </row>
    <row r="292" spans="1:3" x14ac:dyDescent="0.2">
      <c r="A292" s="238"/>
      <c r="B292" s="238"/>
      <c r="C292" s="238"/>
    </row>
    <row r="293" spans="1:3" x14ac:dyDescent="0.2">
      <c r="A293" s="238"/>
      <c r="B293" s="238"/>
      <c r="C293" s="238"/>
    </row>
    <row r="294" spans="1:3" x14ac:dyDescent="0.2">
      <c r="A294" s="238"/>
      <c r="B294" s="238"/>
      <c r="C294" s="238"/>
    </row>
    <row r="295" spans="1:3" x14ac:dyDescent="0.2">
      <c r="A295" s="238"/>
      <c r="B295" s="238"/>
      <c r="C295" s="238"/>
    </row>
    <row r="296" spans="1:3" x14ac:dyDescent="0.2">
      <c r="A296" s="238"/>
      <c r="B296" s="238"/>
      <c r="C296" s="238"/>
    </row>
    <row r="297" spans="1:3" x14ac:dyDescent="0.2">
      <c r="A297" s="238"/>
      <c r="B297" s="238"/>
      <c r="C297" s="238"/>
    </row>
    <row r="298" spans="1:3" x14ac:dyDescent="0.2">
      <c r="A298" s="238"/>
      <c r="B298" s="238"/>
      <c r="C298" s="238"/>
    </row>
    <row r="299" spans="1:3" x14ac:dyDescent="0.2">
      <c r="A299" s="238"/>
      <c r="B299" s="238"/>
      <c r="C299" s="238"/>
    </row>
    <row r="300" spans="1:3" x14ac:dyDescent="0.2">
      <c r="A300" s="238"/>
      <c r="B300" s="238"/>
      <c r="C300" s="238"/>
    </row>
    <row r="301" spans="1:3" x14ac:dyDescent="0.2">
      <c r="A301" s="238"/>
      <c r="B301" s="238"/>
      <c r="C301" s="238"/>
    </row>
    <row r="302" spans="1:3" x14ac:dyDescent="0.2">
      <c r="A302" s="238"/>
      <c r="B302" s="238"/>
      <c r="C302" s="238"/>
    </row>
    <row r="303" spans="1:3" x14ac:dyDescent="0.2">
      <c r="A303" s="238"/>
      <c r="B303" s="238"/>
      <c r="C303" s="238"/>
    </row>
    <row r="304" spans="1:3" x14ac:dyDescent="0.2">
      <c r="A304" s="238"/>
      <c r="B304" s="238"/>
      <c r="C304" s="238"/>
    </row>
    <row r="305" spans="1:3" x14ac:dyDescent="0.2">
      <c r="A305" s="238"/>
      <c r="B305" s="238"/>
      <c r="C305" s="238"/>
    </row>
    <row r="306" spans="1:3" x14ac:dyDescent="0.2">
      <c r="A306" s="238"/>
      <c r="B306" s="238"/>
      <c r="C306" s="238"/>
    </row>
    <row r="307" spans="1:3" x14ac:dyDescent="0.2">
      <c r="A307" s="238"/>
      <c r="B307" s="238"/>
      <c r="C307" s="238"/>
    </row>
    <row r="308" spans="1:3" x14ac:dyDescent="0.2">
      <c r="A308" s="238"/>
      <c r="B308" s="238"/>
      <c r="C308" s="238"/>
    </row>
    <row r="309" spans="1:3" x14ac:dyDescent="0.2">
      <c r="A309" s="238"/>
      <c r="B309" s="238"/>
      <c r="C309" s="238"/>
    </row>
    <row r="310" spans="1:3" x14ac:dyDescent="0.2">
      <c r="A310" s="238"/>
      <c r="B310" s="238"/>
      <c r="C310" s="238"/>
    </row>
    <row r="311" spans="1:3" x14ac:dyDescent="0.2">
      <c r="A311" s="238"/>
      <c r="B311" s="238"/>
      <c r="C311" s="238"/>
    </row>
    <row r="312" spans="1:3" x14ac:dyDescent="0.2">
      <c r="A312" s="238"/>
      <c r="B312" s="238"/>
      <c r="C312" s="238"/>
    </row>
    <row r="313" spans="1:3" x14ac:dyDescent="0.2">
      <c r="A313" s="238"/>
      <c r="B313" s="238"/>
      <c r="C313" s="238"/>
    </row>
    <row r="314" spans="1:3" x14ac:dyDescent="0.2">
      <c r="A314" s="238"/>
      <c r="B314" s="238"/>
      <c r="C314" s="238"/>
    </row>
    <row r="315" spans="1:3" x14ac:dyDescent="0.2">
      <c r="A315" s="238"/>
      <c r="B315" s="238"/>
      <c r="C315" s="238"/>
    </row>
    <row r="316" spans="1:3" x14ac:dyDescent="0.2">
      <c r="A316" s="238"/>
      <c r="B316" s="238"/>
      <c r="C316" s="238"/>
    </row>
    <row r="317" spans="1:3" x14ac:dyDescent="0.2">
      <c r="A317" s="238"/>
      <c r="B317" s="238"/>
      <c r="C317" s="238"/>
    </row>
    <row r="318" spans="1:3" x14ac:dyDescent="0.2">
      <c r="A318" s="238"/>
      <c r="B318" s="238"/>
      <c r="C318" s="238"/>
    </row>
    <row r="319" spans="1:3" x14ac:dyDescent="0.2">
      <c r="A319" s="238"/>
      <c r="B319" s="238"/>
      <c r="C319" s="238"/>
    </row>
    <row r="320" spans="1:3" x14ac:dyDescent="0.2">
      <c r="A320" s="238"/>
      <c r="B320" s="238"/>
      <c r="C320" s="238"/>
    </row>
    <row r="321" spans="1:3" x14ac:dyDescent="0.2">
      <c r="A321" s="238"/>
      <c r="B321" s="238"/>
      <c r="C321" s="238"/>
    </row>
    <row r="322" spans="1:3" x14ac:dyDescent="0.2">
      <c r="A322" s="238"/>
      <c r="B322" s="238"/>
      <c r="C322" s="238"/>
    </row>
    <row r="323" spans="1:3" x14ac:dyDescent="0.2">
      <c r="A323" s="238"/>
      <c r="B323" s="238"/>
      <c r="C323" s="238"/>
    </row>
    <row r="324" spans="1:3" x14ac:dyDescent="0.2">
      <c r="A324" s="238"/>
      <c r="B324" s="238"/>
      <c r="C324" s="238"/>
    </row>
    <row r="325" spans="1:3" x14ac:dyDescent="0.2">
      <c r="A325" s="122"/>
      <c r="B325" s="122"/>
      <c r="C325" s="122"/>
    </row>
    <row r="326" spans="1:3" x14ac:dyDescent="0.2">
      <c r="A326" s="122"/>
      <c r="B326" s="122"/>
      <c r="C326" s="122"/>
    </row>
    <row r="327" spans="1:3" x14ac:dyDescent="0.2">
      <c r="A327" s="122"/>
      <c r="B327" s="122"/>
      <c r="C327" s="122"/>
    </row>
    <row r="328" spans="1:3" x14ac:dyDescent="0.2">
      <c r="A328" s="122"/>
      <c r="B328" s="122"/>
      <c r="C328" s="122"/>
    </row>
    <row r="329" spans="1:3" x14ac:dyDescent="0.2">
      <c r="A329" s="122"/>
      <c r="B329" s="122"/>
      <c r="C329" s="122"/>
    </row>
    <row r="330" spans="1:3" x14ac:dyDescent="0.2">
      <c r="A330" s="122"/>
      <c r="B330" s="122"/>
      <c r="C330" s="122"/>
    </row>
    <row r="331" spans="1:3" x14ac:dyDescent="0.2">
      <c r="A331" s="122"/>
      <c r="B331" s="122"/>
      <c r="C331" s="122"/>
    </row>
    <row r="332" spans="1:3" x14ac:dyDescent="0.2">
      <c r="A332" s="122"/>
      <c r="B332" s="122"/>
      <c r="C332" s="122"/>
    </row>
    <row r="333" spans="1:3" x14ac:dyDescent="0.2">
      <c r="A333" s="122"/>
      <c r="B333" s="122"/>
      <c r="C333" s="122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  <row r="646" spans="1:3" x14ac:dyDescent="0.2">
      <c r="A646" s="122"/>
      <c r="B646" s="122"/>
      <c r="C646" s="122"/>
    </row>
    <row r="647" spans="1:3" x14ac:dyDescent="0.2">
      <c r="A647" s="122"/>
      <c r="B647" s="122"/>
      <c r="C647" s="122"/>
    </row>
    <row r="648" spans="1:3" x14ac:dyDescent="0.2">
      <c r="A648" s="122"/>
      <c r="B648" s="122"/>
      <c r="C648" s="122"/>
    </row>
    <row r="649" spans="1:3" x14ac:dyDescent="0.2">
      <c r="A649" s="122"/>
      <c r="B649" s="122"/>
      <c r="C649" s="122"/>
    </row>
    <row r="650" spans="1:3" x14ac:dyDescent="0.2">
      <c r="A650" s="122"/>
      <c r="B650" s="122"/>
      <c r="C650" s="122"/>
    </row>
    <row r="651" spans="1:3" x14ac:dyDescent="0.2">
      <c r="A651" s="122"/>
      <c r="B651" s="122"/>
      <c r="C651" s="122"/>
    </row>
    <row r="652" spans="1:3" x14ac:dyDescent="0.2">
      <c r="A652" s="122"/>
      <c r="B652" s="122"/>
      <c r="C652" s="122"/>
    </row>
    <row r="653" spans="1:3" x14ac:dyDescent="0.2">
      <c r="A653" s="122"/>
      <c r="B653" s="122"/>
      <c r="C653" s="122"/>
    </row>
    <row r="654" spans="1:3" x14ac:dyDescent="0.2">
      <c r="A654" s="122"/>
      <c r="B654" s="122"/>
      <c r="C654" s="122"/>
    </row>
    <row r="655" spans="1:3" x14ac:dyDescent="0.2">
      <c r="A655" s="122"/>
      <c r="B655" s="122"/>
      <c r="C655" s="122"/>
    </row>
    <row r="656" spans="1:3" x14ac:dyDescent="0.2">
      <c r="A656" s="122"/>
      <c r="B656" s="122"/>
      <c r="C656" s="122"/>
    </row>
    <row r="657" spans="1:3" x14ac:dyDescent="0.2">
      <c r="A657" s="122"/>
      <c r="B657" s="122"/>
      <c r="C657" s="122"/>
    </row>
    <row r="658" spans="1:3" x14ac:dyDescent="0.2">
      <c r="A658" s="122"/>
      <c r="B658" s="122"/>
      <c r="C658" s="122"/>
    </row>
    <row r="659" spans="1:3" x14ac:dyDescent="0.2">
      <c r="A659" s="122"/>
      <c r="B659" s="122"/>
      <c r="C659" s="122"/>
    </row>
    <row r="660" spans="1:3" x14ac:dyDescent="0.2">
      <c r="A660" s="122"/>
      <c r="B660" s="122"/>
      <c r="C660" s="122"/>
    </row>
  </sheetData>
  <sheetProtection algorithmName="SHA-512" hashValue="7ki+uREosnyTktBG6WVmzhD2jzcdmWcnJaKqmJNtjgzmkc8989O4aWp4viLO6/L83KsZ2XIQmZgVAy++WtgpUQ==" saltValue="qQs2lNwdNEwght2bVo/40Q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3">
    <mergeCell ref="E4:F4"/>
    <mergeCell ref="G4:H4"/>
    <mergeCell ref="E28:F28"/>
  </mergeCells>
  <phoneticPr fontId="0" type="noConversion"/>
  <dataValidations count="3">
    <dataValidation type="list" allowBlank="1" showInputMessage="1" showErrorMessage="1" sqref="B10" xr:uid="{00000000-0002-0000-0100-000000000000}">
      <formula1>"Ja,Nei"</formula1>
    </dataValidation>
    <dataValidation type="list" allowBlank="1" showInputMessage="1" showErrorMessage="1" sqref="B6" xr:uid="{00000000-0002-0000-0100-000001000000}">
      <formula1>"1,2,3,4,5A,5B,6,7"</formula1>
    </dataValidation>
    <dataValidation type="list" allowBlank="1" showInputMessage="1" showErrorMessage="1" sqref="B7" xr:uid="{A388352A-B7DC-4968-AA93-FD7BF0742709}">
      <formula1>"-,Ja,Nei"</formula1>
    </dataValidation>
  </dataValidations>
  <pageMargins left="0.5" right="0.3" top="0.7" bottom="0.7" header="0.5" footer="0.5"/>
  <pageSetup paperSize="9" scale="58" orientation="portrait" r:id="rId2"/>
  <headerFooter alignWithMargins="0">
    <oddHeader>&amp;A</oddHeader>
    <oddFooter>Side &amp;P</oddFoot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E8CDB8-0121-42CB-B89C-8A676CCA03D3}">
          <x14:formula1>
            <xm:f>Satser!$M$113:$M$122</xm:f>
          </x14:formula1>
          <xm:sqref>B8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1:AK275"/>
  <sheetViews>
    <sheetView topLeftCell="A25" workbookViewId="0">
      <selection activeCell="P59" sqref="P59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8" width="11.140625" customWidth="1"/>
    <col min="9" max="9" width="18.7109375" customWidth="1"/>
    <col min="10" max="10" width="15.42578125" customWidth="1"/>
    <col min="11" max="11" width="12" customWidth="1"/>
    <col min="12" max="12" width="25.7109375" customWidth="1"/>
    <col min="13" max="13" width="9.140625" customWidth="1"/>
    <col min="14" max="14" width="11" customWidth="1"/>
    <col min="23" max="23" width="22.1406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24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42"/>
      <c r="J2" s="68"/>
      <c r="L2" s="24" t="s">
        <v>47</v>
      </c>
      <c r="M2" s="23">
        <f>Utslag!B35</f>
        <v>0</v>
      </c>
      <c r="N2" s="25" t="s">
        <v>3</v>
      </c>
      <c r="W2">
        <v>2022</v>
      </c>
      <c r="X2" s="178" t="s">
        <v>292</v>
      </c>
    </row>
    <row r="3" spans="1:24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251" t="s">
        <v>367</v>
      </c>
      <c r="H3" s="251" t="s">
        <v>368</v>
      </c>
      <c r="I3" s="3">
        <v>6</v>
      </c>
      <c r="J3" s="95">
        <v>7</v>
      </c>
      <c r="L3" s="24" t="s">
        <v>52</v>
      </c>
      <c r="M3" s="23">
        <f>Utslag!B34</f>
        <v>0</v>
      </c>
      <c r="N3" s="25" t="s">
        <v>3</v>
      </c>
      <c r="W3" s="178" t="s">
        <v>293</v>
      </c>
    </row>
    <row r="4" spans="1:24" x14ac:dyDescent="0.2">
      <c r="A4" s="73" t="s">
        <v>47</v>
      </c>
      <c r="B4" s="201" t="s">
        <v>226</v>
      </c>
      <c r="C4" s="34">
        <v>50</v>
      </c>
      <c r="D4" s="34">
        <v>50</v>
      </c>
      <c r="E4" s="34">
        <v>50</v>
      </c>
      <c r="F4" s="34">
        <v>50</v>
      </c>
      <c r="G4" s="171">
        <v>75</v>
      </c>
      <c r="H4" s="171">
        <v>75</v>
      </c>
      <c r="I4" s="171">
        <v>90</v>
      </c>
      <c r="J4" s="172">
        <v>90</v>
      </c>
      <c r="L4" s="1"/>
      <c r="M4" s="1"/>
      <c r="W4" s="178" t="s">
        <v>270</v>
      </c>
      <c r="X4" s="179">
        <v>0.5</v>
      </c>
    </row>
    <row r="5" spans="1:24" x14ac:dyDescent="0.2">
      <c r="A5" s="73" t="s">
        <v>50</v>
      </c>
      <c r="B5" s="201" t="s">
        <v>226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L5" s="259" t="s">
        <v>215</v>
      </c>
      <c r="M5" s="260">
        <f>M3*0.6-M3*0.6</f>
        <v>0</v>
      </c>
      <c r="W5" s="178" t="s">
        <v>294</v>
      </c>
      <c r="X5" s="179">
        <v>0.5</v>
      </c>
    </row>
    <row r="6" spans="1:24" x14ac:dyDescent="0.2">
      <c r="A6" s="73" t="s">
        <v>48</v>
      </c>
      <c r="B6" s="201" t="s">
        <v>226</v>
      </c>
      <c r="C6" s="315">
        <v>60</v>
      </c>
      <c r="D6" s="315">
        <v>60</v>
      </c>
      <c r="E6" s="315">
        <v>60</v>
      </c>
      <c r="F6" s="315">
        <v>60</v>
      </c>
      <c r="G6" s="315">
        <v>106</v>
      </c>
      <c r="H6" s="315">
        <v>106</v>
      </c>
      <c r="I6" s="315">
        <v>106</v>
      </c>
      <c r="J6" s="315">
        <v>106</v>
      </c>
      <c r="L6" s="259" t="s">
        <v>219</v>
      </c>
      <c r="M6" s="261">
        <f>HLOOKUP(Utslag!B6,J12:P16,5)</f>
        <v>162</v>
      </c>
      <c r="W6" s="178" t="s">
        <v>272</v>
      </c>
      <c r="X6" s="179">
        <v>0.15</v>
      </c>
    </row>
    <row r="7" spans="1:24" x14ac:dyDescent="0.2">
      <c r="A7" s="73" t="s">
        <v>62</v>
      </c>
      <c r="B7" s="201" t="s">
        <v>226</v>
      </c>
      <c r="C7" s="34">
        <v>200</v>
      </c>
      <c r="D7" s="34">
        <v>200</v>
      </c>
      <c r="E7" s="34">
        <v>200</v>
      </c>
      <c r="F7" s="34">
        <v>200</v>
      </c>
      <c r="G7" s="34">
        <v>200</v>
      </c>
      <c r="H7" s="34">
        <v>200</v>
      </c>
      <c r="I7" s="34">
        <v>200</v>
      </c>
      <c r="J7" s="34">
        <v>200</v>
      </c>
      <c r="L7" s="259" t="s">
        <v>218</v>
      </c>
      <c r="M7" s="261">
        <f>M5*M6</f>
        <v>0</v>
      </c>
      <c r="X7" s="179"/>
    </row>
    <row r="8" spans="1:24" x14ac:dyDescent="0.2">
      <c r="A8" s="73" t="s">
        <v>143</v>
      </c>
      <c r="B8" s="201" t="s">
        <v>226</v>
      </c>
      <c r="C8" s="34">
        <v>450</v>
      </c>
      <c r="D8" s="34">
        <v>450</v>
      </c>
      <c r="E8" s="34">
        <v>450</v>
      </c>
      <c r="F8" s="34">
        <v>450</v>
      </c>
      <c r="G8" s="34">
        <v>450</v>
      </c>
      <c r="H8" s="34">
        <v>450</v>
      </c>
      <c r="I8" s="34">
        <v>450</v>
      </c>
      <c r="J8" s="34">
        <v>450</v>
      </c>
      <c r="W8" s="178" t="s">
        <v>66</v>
      </c>
      <c r="X8" s="179"/>
    </row>
    <row r="9" spans="1:24" x14ac:dyDescent="0.2">
      <c r="A9" s="74" t="s">
        <v>141</v>
      </c>
      <c r="B9" s="251" t="s">
        <v>226</v>
      </c>
      <c r="C9" s="36">
        <v>450</v>
      </c>
      <c r="D9" s="36">
        <v>450</v>
      </c>
      <c r="E9" s="36">
        <v>450</v>
      </c>
      <c r="F9" s="36">
        <v>450</v>
      </c>
      <c r="G9" s="36">
        <v>450</v>
      </c>
      <c r="H9" s="36">
        <v>450</v>
      </c>
      <c r="I9" s="36">
        <v>450</v>
      </c>
      <c r="J9" s="36">
        <v>450</v>
      </c>
      <c r="W9" s="178" t="s">
        <v>4</v>
      </c>
      <c r="X9" s="179">
        <v>1430</v>
      </c>
    </row>
    <row r="10" spans="1:24" x14ac:dyDescent="0.2">
      <c r="A10" s="255" t="s">
        <v>78</v>
      </c>
      <c r="B10" s="256"/>
      <c r="C10" s="56">
        <v>50</v>
      </c>
      <c r="D10" s="257">
        <f>$C$10</f>
        <v>50</v>
      </c>
      <c r="E10" s="257">
        <f t="shared" ref="E10:I10" si="0">$C$10</f>
        <v>50</v>
      </c>
      <c r="F10" s="257">
        <f t="shared" si="0"/>
        <v>50</v>
      </c>
      <c r="G10" s="257">
        <f t="shared" si="0"/>
        <v>50</v>
      </c>
      <c r="H10" s="257">
        <f t="shared" si="0"/>
        <v>50</v>
      </c>
      <c r="I10" s="257">
        <f t="shared" si="0"/>
        <v>50</v>
      </c>
      <c r="J10" s="257">
        <f>$C$10</f>
        <v>50</v>
      </c>
      <c r="W10" s="178" t="s">
        <v>16</v>
      </c>
      <c r="X10" s="179">
        <v>800</v>
      </c>
    </row>
    <row r="11" spans="1:24" x14ac:dyDescent="0.2">
      <c r="A11" s="1"/>
      <c r="B11" s="2"/>
      <c r="C11" s="1"/>
      <c r="D11" s="1"/>
      <c r="E11" s="1"/>
      <c r="F11" s="1"/>
      <c r="G11" s="1"/>
      <c r="H11" s="1"/>
      <c r="I11" s="1"/>
      <c r="J11" s="1"/>
      <c r="W11" s="178" t="s">
        <v>6</v>
      </c>
      <c r="X11" s="179">
        <v>179</v>
      </c>
    </row>
    <row r="12" spans="1:24" x14ac:dyDescent="0.2">
      <c r="A12" s="66"/>
      <c r="B12" s="41" t="s">
        <v>142</v>
      </c>
      <c r="C12" s="42"/>
      <c r="D12" s="42"/>
      <c r="E12" s="68"/>
      <c r="F12" s="5"/>
      <c r="G12" s="5"/>
      <c r="H12" s="5"/>
      <c r="I12" s="261"/>
      <c r="J12" s="262">
        <v>1</v>
      </c>
      <c r="K12" s="262">
        <v>2</v>
      </c>
      <c r="L12" s="262">
        <v>3</v>
      </c>
      <c r="M12" s="262">
        <v>4</v>
      </c>
      <c r="N12" s="262">
        <v>5</v>
      </c>
      <c r="O12" s="262">
        <v>6</v>
      </c>
      <c r="P12" s="263">
        <v>7</v>
      </c>
      <c r="Q12" s="264"/>
      <c r="R12" s="264"/>
      <c r="W12" s="178" t="s">
        <v>7</v>
      </c>
      <c r="X12" s="179">
        <v>450</v>
      </c>
    </row>
    <row r="13" spans="1:24" x14ac:dyDescent="0.2">
      <c r="A13" s="224" t="s">
        <v>78</v>
      </c>
      <c r="B13" s="221" t="s">
        <v>226</v>
      </c>
      <c r="C13" s="313">
        <f>SUM(Utslag!$B$35:$B$40)+(Utslag!$B$34*0.6)</f>
        <v>0</v>
      </c>
      <c r="D13" s="294">
        <f>C10</f>
        <v>50</v>
      </c>
      <c r="E13" s="258">
        <f>C13*D13</f>
        <v>0</v>
      </c>
      <c r="F13" s="5"/>
      <c r="G13" s="5"/>
      <c r="H13" s="5"/>
      <c r="I13" s="261"/>
      <c r="J13" s="264"/>
      <c r="K13" s="264"/>
      <c r="L13" s="264"/>
      <c r="M13" s="264"/>
      <c r="N13" s="264"/>
      <c r="O13" s="264"/>
      <c r="P13" s="264"/>
      <c r="Q13" s="264"/>
      <c r="R13" s="264"/>
      <c r="W13" s="178" t="s">
        <v>8</v>
      </c>
      <c r="X13" s="179">
        <v>200</v>
      </c>
    </row>
    <row r="14" spans="1:24" x14ac:dyDescent="0.2">
      <c r="A14" s="73" t="s">
        <v>47</v>
      </c>
      <c r="B14" s="221" t="s">
        <v>226</v>
      </c>
      <c r="C14" s="314">
        <f>M2+(M3*0.6)</f>
        <v>0</v>
      </c>
      <c r="D14" s="44">
        <f>HLOOKUP(Utslag!B6,AKkorn2,2)</f>
        <v>50</v>
      </c>
      <c r="E14" s="80">
        <f>C14*D14</f>
        <v>0</v>
      </c>
      <c r="F14" s="37"/>
      <c r="G14" s="37"/>
      <c r="H14" s="5"/>
      <c r="I14" s="259" t="s">
        <v>216</v>
      </c>
      <c r="J14" s="265">
        <v>0</v>
      </c>
      <c r="K14" s="265">
        <v>0</v>
      </c>
      <c r="L14" s="265">
        <v>85</v>
      </c>
      <c r="M14" s="265">
        <v>105</v>
      </c>
      <c r="N14" s="265">
        <v>268</v>
      </c>
      <c r="O14" s="265">
        <v>313</v>
      </c>
      <c r="P14" s="265">
        <v>359</v>
      </c>
      <c r="Q14" s="265"/>
      <c r="R14" s="265"/>
      <c r="W14" s="178" t="s">
        <v>10</v>
      </c>
      <c r="X14" s="179">
        <v>75</v>
      </c>
    </row>
    <row r="15" spans="1:24" x14ac:dyDescent="0.2">
      <c r="A15" s="73" t="s">
        <v>50</v>
      </c>
      <c r="B15" s="221" t="s">
        <v>226</v>
      </c>
      <c r="C15" s="222">
        <f>Utslag!$B$37</f>
        <v>0</v>
      </c>
      <c r="D15" s="44">
        <f>HLOOKUP(Utslag!B6,AKkorn2,3)</f>
        <v>100</v>
      </c>
      <c r="E15" s="80">
        <f t="shared" ref="E15:E18" si="1">C15*D15</f>
        <v>0</v>
      </c>
      <c r="F15" s="37"/>
      <c r="G15" s="37"/>
      <c r="H15" s="5"/>
      <c r="I15" s="259" t="s">
        <v>217</v>
      </c>
      <c r="J15" s="265">
        <v>162</v>
      </c>
      <c r="K15" s="265">
        <v>162</v>
      </c>
      <c r="L15" s="265">
        <v>162</v>
      </c>
      <c r="M15" s="265">
        <v>162</v>
      </c>
      <c r="N15" s="265">
        <v>162</v>
      </c>
      <c r="O15" s="265">
        <v>162</v>
      </c>
      <c r="P15" s="265">
        <v>162</v>
      </c>
      <c r="Q15" s="265"/>
      <c r="R15" s="265"/>
      <c r="W15" s="178" t="s">
        <v>11</v>
      </c>
      <c r="X15" s="179">
        <v>7</v>
      </c>
    </row>
    <row r="16" spans="1:24" x14ac:dyDescent="0.2">
      <c r="A16" s="73" t="s">
        <v>48</v>
      </c>
      <c r="B16" s="221" t="s">
        <v>226</v>
      </c>
      <c r="C16" s="254">
        <f>Utslag!$B$36</f>
        <v>0</v>
      </c>
      <c r="D16" s="44">
        <f>HLOOKUP(Utslag!B6,AKkorn2,4)</f>
        <v>60</v>
      </c>
      <c r="E16" s="80">
        <f t="shared" si="1"/>
        <v>0</v>
      </c>
      <c r="F16" s="37"/>
      <c r="G16" s="37"/>
      <c r="H16" s="5"/>
      <c r="I16" s="259" t="s">
        <v>156</v>
      </c>
      <c r="J16" s="261">
        <f>J14+J15</f>
        <v>162</v>
      </c>
      <c r="K16" s="261">
        <f t="shared" ref="K16:P16" si="2">K14+K15</f>
        <v>162</v>
      </c>
      <c r="L16" s="261">
        <f t="shared" si="2"/>
        <v>247</v>
      </c>
      <c r="M16" s="261">
        <f t="shared" si="2"/>
        <v>267</v>
      </c>
      <c r="N16" s="261">
        <f t="shared" si="2"/>
        <v>430</v>
      </c>
      <c r="O16" s="261">
        <f t="shared" si="2"/>
        <v>475</v>
      </c>
      <c r="P16" s="261">
        <f t="shared" si="2"/>
        <v>521</v>
      </c>
      <c r="Q16" s="261"/>
      <c r="R16" s="261"/>
      <c r="W16" s="178" t="s">
        <v>127</v>
      </c>
      <c r="X16" s="179">
        <v>7</v>
      </c>
    </row>
    <row r="17" spans="1:24" x14ac:dyDescent="0.2">
      <c r="A17" s="73" t="s">
        <v>62</v>
      </c>
      <c r="B17" s="221" t="s">
        <v>226</v>
      </c>
      <c r="C17" s="254">
        <f>Utslag!$B$38</f>
        <v>0</v>
      </c>
      <c r="D17" s="44">
        <f>HLOOKUP(Utslag!B6,AKkorn2,5)</f>
        <v>200</v>
      </c>
      <c r="E17" s="80">
        <f>C17*D17</f>
        <v>0</v>
      </c>
      <c r="F17" s="39"/>
      <c r="G17" s="39"/>
      <c r="H17" s="5"/>
      <c r="W17" s="178" t="s">
        <v>295</v>
      </c>
      <c r="X17" s="179">
        <v>0.5</v>
      </c>
    </row>
    <row r="18" spans="1:24" x14ac:dyDescent="0.2">
      <c r="A18" s="73" t="s">
        <v>143</v>
      </c>
      <c r="B18" s="221" t="s">
        <v>226</v>
      </c>
      <c r="C18" s="254">
        <f>Utslag!$B$39</f>
        <v>0</v>
      </c>
      <c r="D18" s="44">
        <f>HLOOKUP(Utslag!B6,AKkorn2,6)</f>
        <v>450</v>
      </c>
      <c r="E18" s="80">
        <f t="shared" si="1"/>
        <v>0</v>
      </c>
      <c r="F18" s="39"/>
      <c r="G18" s="39"/>
      <c r="H18" s="5"/>
      <c r="I18" s="1"/>
      <c r="L18" s="180">
        <f>HLOOKUP(Utslag!$B$6,$I$12:$P$16,5)</f>
        <v>162</v>
      </c>
      <c r="W18" s="178" t="s">
        <v>296</v>
      </c>
      <c r="X18" s="179">
        <v>3</v>
      </c>
    </row>
    <row r="19" spans="1:24" x14ac:dyDescent="0.2">
      <c r="A19" s="73" t="s">
        <v>141</v>
      </c>
      <c r="B19" s="221" t="s">
        <v>226</v>
      </c>
      <c r="C19" s="254">
        <f>Utslag!$B$40</f>
        <v>0</v>
      </c>
      <c r="D19" s="44">
        <f>HLOOKUP(Utslag!B6,AKkorn2,7)</f>
        <v>450</v>
      </c>
      <c r="E19" s="80">
        <f>C19*D19</f>
        <v>0</v>
      </c>
      <c r="F19" s="17"/>
      <c r="G19" s="17"/>
      <c r="H19" s="5"/>
      <c r="W19" s="178" t="s">
        <v>134</v>
      </c>
      <c r="X19" s="179">
        <v>0.85</v>
      </c>
    </row>
    <row r="20" spans="1:24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6"/>
      <c r="H20" s="5"/>
      <c r="W20" s="178" t="s">
        <v>297</v>
      </c>
      <c r="X20" s="179">
        <v>10</v>
      </c>
    </row>
    <row r="21" spans="1:24" x14ac:dyDescent="0.2">
      <c r="A21" s="17"/>
      <c r="B21" s="159"/>
      <c r="C21" s="5"/>
      <c r="D21" s="5"/>
      <c r="E21" s="39"/>
      <c r="F21" s="6"/>
      <c r="G21" s="6"/>
      <c r="H21" s="5"/>
      <c r="L21" t="s">
        <v>245</v>
      </c>
      <c r="W21" s="178" t="s">
        <v>207</v>
      </c>
      <c r="X21" s="179">
        <v>200</v>
      </c>
    </row>
    <row r="22" spans="1:24" x14ac:dyDescent="0.2">
      <c r="A22" s="17"/>
      <c r="B22" s="159"/>
      <c r="C22" s="5"/>
      <c r="D22" s="5"/>
      <c r="E22" s="39"/>
      <c r="F22" s="6"/>
      <c r="G22" s="6"/>
      <c r="H22" s="5"/>
      <c r="L22" t="s">
        <v>18</v>
      </c>
      <c r="M22">
        <v>1</v>
      </c>
      <c r="N22">
        <v>2</v>
      </c>
      <c r="O22">
        <v>3</v>
      </c>
      <c r="P22">
        <v>4</v>
      </c>
      <c r="Q22" s="178" t="s">
        <v>367</v>
      </c>
      <c r="R22" s="178" t="s">
        <v>368</v>
      </c>
      <c r="S22" s="178">
        <v>6</v>
      </c>
      <c r="X22" s="179"/>
    </row>
    <row r="23" spans="1:24" x14ac:dyDescent="0.2">
      <c r="B23" s="5"/>
      <c r="C23" s="5"/>
      <c r="D23" s="5"/>
      <c r="E23" s="5"/>
      <c r="F23" s="3"/>
      <c r="G23" s="5"/>
      <c r="H23" s="5"/>
      <c r="I23" s="21"/>
      <c r="L23" s="181" t="s">
        <v>266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W23" s="178" t="s">
        <v>217</v>
      </c>
      <c r="X23" s="179">
        <v>0</v>
      </c>
    </row>
    <row r="24" spans="1:24" x14ac:dyDescent="0.2">
      <c r="A24" s="1"/>
      <c r="B24" s="66"/>
      <c r="C24" s="42"/>
      <c r="D24" s="42"/>
      <c r="E24" s="67"/>
      <c r="F24" s="70"/>
      <c r="G24" s="5"/>
      <c r="H24" s="1"/>
      <c r="I24" s="17"/>
      <c r="L24" s="181" t="s">
        <v>287</v>
      </c>
      <c r="M24">
        <v>1.5</v>
      </c>
      <c r="N24">
        <v>1.5</v>
      </c>
      <c r="O24">
        <v>1.5</v>
      </c>
      <c r="P24">
        <v>1.5</v>
      </c>
      <c r="Q24">
        <v>1.5</v>
      </c>
      <c r="R24">
        <v>1.5</v>
      </c>
      <c r="S24">
        <v>1.5</v>
      </c>
      <c r="W24" s="178" t="s">
        <v>47</v>
      </c>
      <c r="X24" s="179">
        <v>87</v>
      </c>
    </row>
    <row r="25" spans="1:24" x14ac:dyDescent="0.2">
      <c r="L25" t="s">
        <v>267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W25" s="178" t="s">
        <v>48</v>
      </c>
      <c r="X25" s="179">
        <v>30</v>
      </c>
    </row>
    <row r="26" spans="1:24" x14ac:dyDescent="0.2">
      <c r="B26" s="78" t="s">
        <v>26</v>
      </c>
      <c r="C26" s="50"/>
      <c r="D26" s="50"/>
      <c r="E26" s="50"/>
      <c r="F26" s="50"/>
      <c r="G26" s="50"/>
      <c r="H26" s="87"/>
      <c r="L26" t="s">
        <v>141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3</v>
      </c>
      <c r="W26" s="178" t="s">
        <v>50</v>
      </c>
      <c r="X26" s="179">
        <v>75</v>
      </c>
    </row>
    <row r="27" spans="1:24" x14ac:dyDescent="0.2">
      <c r="B27" s="71" t="s">
        <v>4</v>
      </c>
      <c r="C27" s="8" t="s">
        <v>27</v>
      </c>
      <c r="D27" s="8" t="s">
        <v>28</v>
      </c>
      <c r="E27" s="4" t="s">
        <v>29</v>
      </c>
      <c r="F27" s="4" t="s">
        <v>30</v>
      </c>
      <c r="G27" s="4"/>
      <c r="H27" s="72" t="s">
        <v>31</v>
      </c>
      <c r="J27" s="159" t="s">
        <v>189</v>
      </c>
      <c r="L27" t="s">
        <v>270</v>
      </c>
      <c r="M27">
        <v>1.5</v>
      </c>
      <c r="N27">
        <v>1.5</v>
      </c>
      <c r="O27">
        <v>1.5</v>
      </c>
      <c r="P27">
        <v>1.5</v>
      </c>
      <c r="Q27">
        <v>1.5</v>
      </c>
      <c r="R27">
        <v>1.5</v>
      </c>
      <c r="S27">
        <v>1.5</v>
      </c>
      <c r="W27" s="178" t="s">
        <v>62</v>
      </c>
      <c r="X27" s="179">
        <v>75</v>
      </c>
    </row>
    <row r="28" spans="1:24" x14ac:dyDescent="0.2">
      <c r="B28" s="244" t="s">
        <v>259</v>
      </c>
      <c r="C28" s="48"/>
      <c r="D28" s="49">
        <v>0</v>
      </c>
      <c r="E28" s="250">
        <f>IF(Utslag!B42&lt;17,Utslag!B42,16)</f>
        <v>0</v>
      </c>
      <c r="F28" s="50">
        <f t="shared" ref="F28:F34" si="3">C28*E28</f>
        <v>0</v>
      </c>
      <c r="G28" s="50"/>
      <c r="H28" s="87">
        <f t="shared" ref="H28:H34" si="4">D28*E28</f>
        <v>0</v>
      </c>
      <c r="J28">
        <f>IF('Ark18'!C10&gt;0,IF('Ark18'!C10+'Ark18'!C11&lt;17,'Ark18'!C10+'Ark18'!C11,16),0)</f>
        <v>0</v>
      </c>
      <c r="L28" t="s">
        <v>271</v>
      </c>
      <c r="M28">
        <v>1.5</v>
      </c>
      <c r="N28">
        <v>1.5</v>
      </c>
      <c r="O28">
        <v>1.5</v>
      </c>
      <c r="P28">
        <v>1.5</v>
      </c>
      <c r="Q28">
        <v>1.5</v>
      </c>
      <c r="R28">
        <v>1.5</v>
      </c>
      <c r="S28">
        <v>1.5</v>
      </c>
      <c r="W28" s="178" t="s">
        <v>143</v>
      </c>
      <c r="X28" s="179">
        <v>75</v>
      </c>
    </row>
    <row r="29" spans="1:24" x14ac:dyDescent="0.2">
      <c r="B29" s="224" t="s">
        <v>260</v>
      </c>
      <c r="C29" s="51"/>
      <c r="D29" s="52">
        <v>0</v>
      </c>
      <c r="E29" s="5">
        <f>IF(Utslag!$B$42&lt;17,0,IF(Utslag!$B$42&lt;26,Utslag!$B$42-16,9))</f>
        <v>0</v>
      </c>
      <c r="F29" s="50">
        <f t="shared" si="3"/>
        <v>0</v>
      </c>
      <c r="G29" s="50"/>
      <c r="H29" s="87">
        <f t="shared" si="4"/>
        <v>0</v>
      </c>
      <c r="J29">
        <f>IF('Ark18'!C10&gt;0,IF('Ark18'!C10+'Ark18'!C11&lt;17,0,IF('Ark18'!C10+'Ark18'!C11&lt;26,'Ark18'!C10+'Ark18'!C11-16,9)),0)</f>
        <v>0</v>
      </c>
      <c r="L29" t="s">
        <v>272</v>
      </c>
      <c r="M29">
        <v>0.5</v>
      </c>
      <c r="N29">
        <v>0.5</v>
      </c>
      <c r="O29">
        <v>0.5</v>
      </c>
      <c r="P29">
        <v>0.5</v>
      </c>
      <c r="Q29">
        <v>0.5</v>
      </c>
      <c r="R29">
        <v>0.5</v>
      </c>
      <c r="S29">
        <v>0.5</v>
      </c>
      <c r="W29" s="178" t="s">
        <v>141</v>
      </c>
      <c r="X29" s="179">
        <v>75</v>
      </c>
    </row>
    <row r="30" spans="1:24" x14ac:dyDescent="0.2">
      <c r="B30" s="73" t="s">
        <v>40</v>
      </c>
      <c r="C30" s="51"/>
      <c r="D30" s="52">
        <v>0</v>
      </c>
      <c r="E30" s="5">
        <f>IF(Utslag!B42&lt;26,0,IF(Utslag!B42&lt;51,Utslag!B42-25,25))</f>
        <v>0</v>
      </c>
      <c r="F30" s="17">
        <f t="shared" si="3"/>
        <v>0</v>
      </c>
      <c r="G30" s="17"/>
      <c r="H30" s="88">
        <f t="shared" si="4"/>
        <v>0</v>
      </c>
    </row>
    <row r="31" spans="1:24" x14ac:dyDescent="0.2">
      <c r="B31" s="271" t="s">
        <v>259</v>
      </c>
      <c r="C31" s="51">
        <v>5328</v>
      </c>
      <c r="D31" s="52">
        <v>6103</v>
      </c>
      <c r="E31" s="250">
        <f>IF(Utslag!B42&lt;15,Utslag!B42,14)</f>
        <v>0</v>
      </c>
      <c r="F31" s="50">
        <f t="shared" si="3"/>
        <v>0</v>
      </c>
      <c r="G31" s="50"/>
      <c r="H31" s="87">
        <f t="shared" si="4"/>
        <v>0</v>
      </c>
      <c r="L31" s="181" t="s">
        <v>266</v>
      </c>
      <c r="M31" s="276">
        <f>Utslag!B25</f>
        <v>0</v>
      </c>
      <c r="N31">
        <f>HLOOKUP(Utslag!$B$6,$L$22:$S$29,2)</f>
        <v>3</v>
      </c>
      <c r="O31">
        <f>M31*N31</f>
        <v>0</v>
      </c>
    </row>
    <row r="32" spans="1:24" x14ac:dyDescent="0.2">
      <c r="B32" s="224" t="s">
        <v>260</v>
      </c>
      <c r="C32" s="51">
        <v>3722</v>
      </c>
      <c r="D32" s="52">
        <v>4497</v>
      </c>
      <c r="E32" s="5">
        <f>IF(Utslag!$B$42&lt;15,0,IF(Utslag!$B$42&lt;30,Utslag!$B$42-14,16))</f>
        <v>0</v>
      </c>
      <c r="F32" s="50">
        <f t="shared" si="3"/>
        <v>0</v>
      </c>
      <c r="G32" s="50"/>
      <c r="H32" s="87">
        <f t="shared" si="4"/>
        <v>0</v>
      </c>
      <c r="L32" s="181" t="s">
        <v>287</v>
      </c>
      <c r="M32" s="276">
        <f>Utslag!B26</f>
        <v>0</v>
      </c>
      <c r="N32">
        <f>HLOOKUP(Utslag!$B$6,$L$22:$S$29,3)</f>
        <v>1.5</v>
      </c>
      <c r="O32">
        <f>M32*N32</f>
        <v>0</v>
      </c>
    </row>
    <row r="33" spans="2:21" x14ac:dyDescent="0.2">
      <c r="B33" s="224" t="s">
        <v>261</v>
      </c>
      <c r="C33" s="51">
        <v>2260</v>
      </c>
      <c r="D33" s="52">
        <v>3035</v>
      </c>
      <c r="E33" s="5">
        <f>IF(Utslag!B42&lt;31,0,IF(Utslag!B42&lt;51,Utslag!B42-30,20))</f>
        <v>0</v>
      </c>
      <c r="F33" s="17">
        <f t="shared" si="3"/>
        <v>0</v>
      </c>
      <c r="G33" s="17"/>
      <c r="H33" s="88">
        <f t="shared" si="4"/>
        <v>0</v>
      </c>
      <c r="L33" t="s">
        <v>267</v>
      </c>
      <c r="M33" s="276">
        <f>Utslag!B27</f>
        <v>0</v>
      </c>
      <c r="N33">
        <f>HLOOKUP(Utslag!$B$6,$L$22:$S$29,4)</f>
        <v>3</v>
      </c>
      <c r="O33">
        <f t="shared" ref="O33:O37" si="5">M33*N33</f>
        <v>0</v>
      </c>
    </row>
    <row r="34" spans="2:21" x14ac:dyDescent="0.2">
      <c r="B34" s="268" t="s">
        <v>210</v>
      </c>
      <c r="C34" s="266">
        <v>1490</v>
      </c>
      <c r="D34" s="267">
        <v>2265</v>
      </c>
      <c r="E34" s="3">
        <f>IF(Utslag!B42&lt;51,0,Utslag!B42-50)</f>
        <v>0</v>
      </c>
      <c r="F34" s="9">
        <f t="shared" si="3"/>
        <v>0</v>
      </c>
      <c r="G34" s="9"/>
      <c r="H34" s="75">
        <f t="shared" si="4"/>
        <v>0</v>
      </c>
      <c r="J34">
        <f>IF('Ark18'!C10&gt;0,IF('Ark18'!C10+'Ark18'!C11&lt;26,0,IF('Ark18'!C10+'Ark18'!C11&lt;51,'Ark18'!C10+'Ark18'!C11-25,25)),0)</f>
        <v>0</v>
      </c>
      <c r="L34" t="s">
        <v>141</v>
      </c>
      <c r="M34" s="276">
        <f>Utslag!B28</f>
        <v>0</v>
      </c>
      <c r="N34">
        <f>HLOOKUP(Utslag!$B$6,$L$22:$S$29,5)</f>
        <v>3</v>
      </c>
      <c r="O34">
        <f t="shared" si="5"/>
        <v>0</v>
      </c>
    </row>
    <row r="35" spans="2:21" x14ac:dyDescent="0.2">
      <c r="B35" s="76"/>
      <c r="C35" s="51"/>
      <c r="D35" s="52"/>
      <c r="E35" s="17"/>
      <c r="F35" s="17"/>
      <c r="G35" s="17"/>
      <c r="H35" s="88"/>
      <c r="L35" t="s">
        <v>270</v>
      </c>
      <c r="M35" s="276">
        <f>Utslag!B29</f>
        <v>0</v>
      </c>
      <c r="N35">
        <f>HLOOKUP(Utslag!$B$6,$L$22:$S$29,6)</f>
        <v>1.5</v>
      </c>
      <c r="O35">
        <f t="shared" si="5"/>
        <v>0</v>
      </c>
    </row>
    <row r="36" spans="2:21" x14ac:dyDescent="0.2">
      <c r="B36" s="78" t="s">
        <v>6</v>
      </c>
      <c r="C36" s="48"/>
      <c r="D36" s="49"/>
      <c r="E36" s="50"/>
      <c r="F36" s="50"/>
      <c r="G36" s="50"/>
      <c r="H36" s="87"/>
      <c r="L36" t="s">
        <v>271</v>
      </c>
      <c r="M36" s="276">
        <f>Utslag!B30</f>
        <v>0</v>
      </c>
      <c r="N36">
        <f>HLOOKUP(Utslag!$B$6,$L$22:$S$29,7)</f>
        <v>1.5</v>
      </c>
      <c r="O36">
        <f t="shared" si="5"/>
        <v>0</v>
      </c>
    </row>
    <row r="37" spans="2:21" x14ac:dyDescent="0.2">
      <c r="B37" s="73"/>
      <c r="C37" s="51">
        <v>798</v>
      </c>
      <c r="D37" s="52">
        <v>1198</v>
      </c>
      <c r="E37" s="269">
        <f>Utslag!B44</f>
        <v>0</v>
      </c>
      <c r="F37" s="17">
        <f>C37*E37</f>
        <v>0</v>
      </c>
      <c r="G37" s="17"/>
      <c r="H37" s="88">
        <f>D37*E37</f>
        <v>0</v>
      </c>
      <c r="L37" t="s">
        <v>272</v>
      </c>
      <c r="M37" s="276">
        <f>Utslag!B31</f>
        <v>0</v>
      </c>
      <c r="N37">
        <f>HLOOKUP(Utslag!$B$6,$L$22:$S$29,8)</f>
        <v>0.5</v>
      </c>
      <c r="O37">
        <f t="shared" si="5"/>
        <v>0</v>
      </c>
    </row>
    <row r="38" spans="2:21" x14ac:dyDescent="0.2">
      <c r="B38" s="224" t="s">
        <v>277</v>
      </c>
      <c r="C38" s="51">
        <v>0</v>
      </c>
      <c r="D38" s="52">
        <v>0</v>
      </c>
      <c r="E38" s="269"/>
      <c r="F38" s="17">
        <f>C38*E38</f>
        <v>0</v>
      </c>
      <c r="G38" s="17"/>
      <c r="H38" s="88">
        <f>D38*E38</f>
        <v>0</v>
      </c>
      <c r="M38" s="276">
        <f>SUM(M31:M37)</f>
        <v>0</v>
      </c>
      <c r="O38" s="308">
        <f>SUM(O31:O37)</f>
        <v>0</v>
      </c>
    </row>
    <row r="39" spans="2:21" x14ac:dyDescent="0.2">
      <c r="B39" s="78" t="s">
        <v>7</v>
      </c>
      <c r="C39" s="48"/>
      <c r="D39" s="49"/>
      <c r="E39" s="50"/>
      <c r="F39" s="50"/>
      <c r="G39" s="50"/>
      <c r="H39" s="87"/>
    </row>
    <row r="40" spans="2:21" x14ac:dyDescent="0.2">
      <c r="B40" s="73" t="s">
        <v>41</v>
      </c>
      <c r="C40" s="51">
        <v>1702</v>
      </c>
      <c r="D40" s="52">
        <v>1702</v>
      </c>
      <c r="E40" s="5">
        <f>IF(Utslag!B45&lt;125,Utslag!B45,125)</f>
        <v>0</v>
      </c>
      <c r="F40" s="17">
        <f>C40*E40</f>
        <v>0</v>
      </c>
      <c r="G40" s="17"/>
      <c r="H40" s="88">
        <f>D40*E40</f>
        <v>0</v>
      </c>
      <c r="L40" s="178" t="s">
        <v>18</v>
      </c>
      <c r="M40">
        <v>1</v>
      </c>
      <c r="N40">
        <v>2</v>
      </c>
      <c r="O40">
        <v>3</v>
      </c>
      <c r="P40">
        <v>4</v>
      </c>
      <c r="Q40" s="178" t="s">
        <v>367</v>
      </c>
      <c r="R40" s="178" t="s">
        <v>368</v>
      </c>
      <c r="T40">
        <v>6</v>
      </c>
      <c r="U40">
        <v>7</v>
      </c>
    </row>
    <row r="41" spans="2:21" x14ac:dyDescent="0.2">
      <c r="B41" s="225" t="s">
        <v>211</v>
      </c>
      <c r="C41" s="53">
        <v>688</v>
      </c>
      <c r="D41" s="30">
        <v>688</v>
      </c>
      <c r="E41" s="3">
        <f>IF(Utslag!B45&lt;125,0,Utslag!B45-125)</f>
        <v>0</v>
      </c>
      <c r="F41" s="9">
        <f>C41*E41</f>
        <v>0</v>
      </c>
      <c r="G41" s="9"/>
      <c r="H41" s="75">
        <f>D41*E41</f>
        <v>0</v>
      </c>
      <c r="L41" s="178" t="s">
        <v>252</v>
      </c>
      <c r="M41" s="316">
        <v>70000</v>
      </c>
      <c r="N41" s="316">
        <v>70000</v>
      </c>
      <c r="O41" s="316">
        <v>70000</v>
      </c>
      <c r="P41" s="316">
        <v>70000</v>
      </c>
      <c r="Q41" s="316">
        <v>70000</v>
      </c>
      <c r="R41" s="316">
        <v>70000</v>
      </c>
      <c r="S41" s="316"/>
      <c r="T41" s="316">
        <v>70000</v>
      </c>
      <c r="U41" s="316">
        <v>70000</v>
      </c>
    </row>
    <row r="42" spans="2:21" x14ac:dyDescent="0.2">
      <c r="B42" s="224"/>
      <c r="C42" s="51"/>
      <c r="D42" s="52"/>
      <c r="E42" s="5"/>
      <c r="F42" s="17"/>
      <c r="G42" s="17"/>
      <c r="H42" s="88"/>
    </row>
    <row r="43" spans="2:21" x14ac:dyDescent="0.2">
      <c r="B43" s="78" t="s">
        <v>146</v>
      </c>
      <c r="C43" s="43"/>
      <c r="D43" s="49"/>
      <c r="E43" s="50"/>
      <c r="F43" s="50"/>
      <c r="G43" s="50"/>
      <c r="H43" s="87"/>
      <c r="N43" s="180">
        <f>HLOOKUP(Utslag!$B$6,$L$40:$U$41,2)</f>
        <v>70000</v>
      </c>
    </row>
    <row r="44" spans="2:21" x14ac:dyDescent="0.2">
      <c r="B44" s="224" t="s">
        <v>363</v>
      </c>
      <c r="C44" s="15">
        <v>985</v>
      </c>
      <c r="D44" s="52">
        <v>1885</v>
      </c>
      <c r="E44" s="5">
        <f>IF(Utslag!B46&lt;76,Utslag!B46,75)</f>
        <v>0</v>
      </c>
      <c r="F44" s="17">
        <f t="shared" ref="F44:F46" si="6">C44*E44</f>
        <v>0</v>
      </c>
      <c r="G44" s="17"/>
      <c r="H44" s="88">
        <f t="shared" ref="H44:H46" si="7">D44*E44</f>
        <v>0</v>
      </c>
    </row>
    <row r="45" spans="2:21" x14ac:dyDescent="0.2">
      <c r="B45" s="224" t="s">
        <v>364</v>
      </c>
      <c r="C45" s="15">
        <v>985</v>
      </c>
      <c r="D45" s="52">
        <v>1435</v>
      </c>
      <c r="E45" s="5">
        <f>IF(Utslag!B46&lt;76,0,IF(Utslag!B46&lt;151,Utslag!B46-75,75))</f>
        <v>0</v>
      </c>
      <c r="F45" s="17">
        <f t="shared" ref="F45" si="8">C45*E45</f>
        <v>0</v>
      </c>
      <c r="G45" s="17"/>
      <c r="H45" s="88">
        <f t="shared" ref="H45" si="9">D45*E45</f>
        <v>0</v>
      </c>
    </row>
    <row r="46" spans="2:21" x14ac:dyDescent="0.2">
      <c r="B46" s="224" t="s">
        <v>285</v>
      </c>
      <c r="C46" s="15">
        <v>209</v>
      </c>
      <c r="D46" s="52">
        <v>209</v>
      </c>
      <c r="E46" s="5">
        <f>IF(Utslag!B46&lt;151,0,Utslag!B46-150)</f>
        <v>0</v>
      </c>
      <c r="F46" s="17">
        <f t="shared" si="6"/>
        <v>0</v>
      </c>
      <c r="G46" s="17"/>
      <c r="H46" s="88">
        <f t="shared" si="7"/>
        <v>0</v>
      </c>
    </row>
    <row r="47" spans="2:21" x14ac:dyDescent="0.2">
      <c r="B47" s="78" t="s">
        <v>188</v>
      </c>
      <c r="C47" s="43"/>
      <c r="D47" s="49"/>
      <c r="E47" s="50"/>
      <c r="F47" s="50"/>
      <c r="G47" s="50"/>
      <c r="H47" s="87"/>
      <c r="J47" t="s">
        <v>189</v>
      </c>
      <c r="L47" s="178" t="s">
        <v>18</v>
      </c>
      <c r="M47">
        <v>1</v>
      </c>
      <c r="N47">
        <v>2</v>
      </c>
      <c r="O47">
        <v>3</v>
      </c>
      <c r="P47">
        <v>4</v>
      </c>
      <c r="Q47" s="178" t="s">
        <v>367</v>
      </c>
      <c r="R47" s="178" t="s">
        <v>368</v>
      </c>
      <c r="T47">
        <v>6</v>
      </c>
      <c r="U47">
        <v>7</v>
      </c>
    </row>
    <row r="48" spans="2:21" x14ac:dyDescent="0.2">
      <c r="B48" s="270" t="s">
        <v>229</v>
      </c>
      <c r="C48" s="15">
        <v>4290</v>
      </c>
      <c r="D48" s="54">
        <v>5065</v>
      </c>
      <c r="E48" s="5">
        <f>IF(Utslag!B43&lt;50,Utslag!B43,50)</f>
        <v>0</v>
      </c>
      <c r="F48" s="17">
        <f>C48*E48</f>
        <v>0</v>
      </c>
      <c r="G48" s="17"/>
      <c r="H48" s="88">
        <f>D48*E48</f>
        <v>0</v>
      </c>
      <c r="J48">
        <f>IF($J$28&gt;0,0,E48)</f>
        <v>0</v>
      </c>
      <c r="L48" s="178" t="s">
        <v>257</v>
      </c>
      <c r="M48">
        <v>84000</v>
      </c>
      <c r="N48">
        <v>84000</v>
      </c>
      <c r="O48">
        <v>84000</v>
      </c>
      <c r="P48">
        <v>84000</v>
      </c>
      <c r="Q48">
        <v>104000</v>
      </c>
      <c r="R48">
        <v>104000</v>
      </c>
      <c r="T48">
        <v>104000</v>
      </c>
      <c r="U48">
        <v>104000</v>
      </c>
    </row>
    <row r="49" spans="2:16" x14ac:dyDescent="0.2">
      <c r="B49" s="224" t="s">
        <v>228</v>
      </c>
      <c r="C49" s="15">
        <v>880</v>
      </c>
      <c r="D49" s="54">
        <v>1330</v>
      </c>
      <c r="E49" s="5">
        <f>IF(Utslag!B43&lt;50,0,IF(Utslag!B43&gt;50,Utslag!B43-50))</f>
        <v>0</v>
      </c>
      <c r="F49" s="17">
        <f>C49*E49</f>
        <v>0</v>
      </c>
      <c r="G49" s="17"/>
      <c r="H49" s="88">
        <f>D49*E49</f>
        <v>0</v>
      </c>
      <c r="J49">
        <f>IF($J$28&gt;0,0,E49)</f>
        <v>0</v>
      </c>
    </row>
    <row r="50" spans="2:16" x14ac:dyDescent="0.2">
      <c r="B50" s="76"/>
      <c r="C50" s="15"/>
      <c r="D50" s="54"/>
      <c r="E50" s="17"/>
      <c r="F50" s="17"/>
      <c r="G50" s="17"/>
      <c r="H50" s="88"/>
      <c r="N50" s="180">
        <f>HLOOKUP(Utslag!$B$6,$L$47:$U$48,2)</f>
        <v>84000</v>
      </c>
    </row>
    <row r="51" spans="2:16" x14ac:dyDescent="0.2">
      <c r="B51" s="78" t="s">
        <v>10</v>
      </c>
      <c r="C51" s="43"/>
      <c r="D51" s="49"/>
      <c r="E51" s="50"/>
      <c r="F51" s="50"/>
      <c r="G51" s="50"/>
      <c r="H51" s="87"/>
    </row>
    <row r="52" spans="2:16" x14ac:dyDescent="0.2">
      <c r="B52" s="91" t="s">
        <v>95</v>
      </c>
      <c r="C52" s="15">
        <v>498</v>
      </c>
      <c r="D52" s="52">
        <v>498</v>
      </c>
      <c r="E52" s="272"/>
      <c r="F52" s="17">
        <f>C52*E52</f>
        <v>0</v>
      </c>
      <c r="G52" s="17"/>
      <c r="H52" s="88">
        <f>D52*E52</f>
        <v>0</v>
      </c>
      <c r="L52" s="178" t="s">
        <v>369</v>
      </c>
      <c r="M52" s="178" t="s">
        <v>368</v>
      </c>
      <c r="N52">
        <v>6</v>
      </c>
    </row>
    <row r="53" spans="2:16" x14ac:dyDescent="0.2">
      <c r="B53" s="271" t="s">
        <v>230</v>
      </c>
      <c r="C53" s="15">
        <v>350</v>
      </c>
      <c r="D53" s="52">
        <v>350</v>
      </c>
      <c r="E53" s="181"/>
      <c r="F53" s="17"/>
      <c r="G53" s="17"/>
      <c r="H53" s="88"/>
      <c r="M53">
        <v>0.13</v>
      </c>
      <c r="N53">
        <v>0.5</v>
      </c>
      <c r="P53" s="360">
        <f>IF(Utslag!B7="-",0,IF(Utslag!B7="Nei",0.13,0))</f>
        <v>0</v>
      </c>
    </row>
    <row r="54" spans="2:16" x14ac:dyDescent="0.2">
      <c r="B54" s="91" t="s">
        <v>96</v>
      </c>
      <c r="C54" s="15">
        <v>776</v>
      </c>
      <c r="D54" s="52">
        <v>776</v>
      </c>
      <c r="E54" s="5"/>
      <c r="F54" s="17">
        <f>C54*E54</f>
        <v>0</v>
      </c>
      <c r="G54" s="17"/>
      <c r="H54" s="88">
        <f>D54*E54</f>
        <v>0</v>
      </c>
      <c r="M54">
        <f>IF(P53=0.13,Utslag!B22*0.13,0)+IF(Utslag!B6=6,Utslag!B22*Satser!N53,0)</f>
        <v>0</v>
      </c>
    </row>
    <row r="55" spans="2:16" x14ac:dyDescent="0.2">
      <c r="B55" s="73"/>
      <c r="C55" s="15"/>
      <c r="D55" s="52"/>
      <c r="E55" s="17"/>
      <c r="F55" s="17"/>
      <c r="G55" s="17"/>
      <c r="H55" s="88"/>
    </row>
    <row r="56" spans="2:16" x14ac:dyDescent="0.2">
      <c r="B56" s="78" t="s">
        <v>11</v>
      </c>
      <c r="C56" s="43"/>
      <c r="D56" s="49"/>
      <c r="E56" s="50"/>
      <c r="F56" s="50"/>
      <c r="G56" s="50"/>
      <c r="H56" s="87"/>
    </row>
    <row r="57" spans="2:16" x14ac:dyDescent="0.2">
      <c r="B57" s="91" t="s">
        <v>53</v>
      </c>
      <c r="C57" s="15">
        <v>14</v>
      </c>
      <c r="D57" s="52">
        <v>14</v>
      </c>
      <c r="E57" s="17"/>
      <c r="F57" s="17">
        <f>C57*E57</f>
        <v>0</v>
      </c>
      <c r="G57" s="17"/>
      <c r="H57" s="88">
        <f>D57*E57</f>
        <v>0</v>
      </c>
    </row>
    <row r="58" spans="2:16" ht="14.25" x14ac:dyDescent="0.2">
      <c r="B58" s="224" t="s">
        <v>231</v>
      </c>
      <c r="C58" s="15">
        <v>10</v>
      </c>
      <c r="D58" s="52">
        <v>10</v>
      </c>
      <c r="E58" s="272"/>
      <c r="F58" s="17">
        <f>C58*E58</f>
        <v>0</v>
      </c>
      <c r="G58" s="17"/>
      <c r="H58" s="88">
        <f>D58*E58</f>
        <v>0</v>
      </c>
      <c r="L58" s="295" t="s">
        <v>251</v>
      </c>
      <c r="N58" s="202">
        <f>Satser!O93</f>
        <v>0</v>
      </c>
    </row>
    <row r="59" spans="2:16" ht="14.25" x14ac:dyDescent="0.2">
      <c r="B59" s="91"/>
      <c r="C59" s="15"/>
      <c r="D59" s="52"/>
      <c r="E59" s="17"/>
      <c r="F59" s="17"/>
      <c r="G59" s="17"/>
      <c r="H59" s="88"/>
      <c r="L59" s="295" t="s">
        <v>316</v>
      </c>
      <c r="N59" s="202">
        <f>IF(Utslag!B6&gt;5,(Utslag!B15+Utslag!B17)*Satser!P98,0)</f>
        <v>0</v>
      </c>
    </row>
    <row r="60" spans="2:16" ht="14.25" x14ac:dyDescent="0.2">
      <c r="B60" s="78" t="s">
        <v>12</v>
      </c>
      <c r="C60" s="43"/>
      <c r="D60" s="49"/>
      <c r="E60" s="50"/>
      <c r="F60" s="50"/>
      <c r="G60" s="50"/>
      <c r="H60" s="87"/>
      <c r="L60" s="295" t="s">
        <v>245</v>
      </c>
      <c r="N60" s="202">
        <f>Satser!$O$38+IF(Utslag!$B$6&gt;5,Utslag!$B$24*0.1,0)</f>
        <v>0</v>
      </c>
    </row>
    <row r="61" spans="2:16" ht="14.25" x14ac:dyDescent="0.2">
      <c r="B61" s="73" t="s">
        <v>101</v>
      </c>
      <c r="C61" s="15">
        <v>11</v>
      </c>
      <c r="D61" s="52">
        <v>11</v>
      </c>
      <c r="E61" s="5">
        <f>IF(Utslag!B49&lt;1001,Utslag!B49,1000)</f>
        <v>0</v>
      </c>
      <c r="F61" s="17">
        <f>C61*E61</f>
        <v>0</v>
      </c>
      <c r="G61" s="17"/>
      <c r="H61" s="88">
        <f>D61*E61</f>
        <v>0</v>
      </c>
      <c r="L61" s="295" t="s">
        <v>351</v>
      </c>
      <c r="N61" s="202">
        <f>IF(Utslag!$B$6&gt;5,Utslag!$B$24*0.2,0)</f>
        <v>0</v>
      </c>
    </row>
    <row r="62" spans="2:16" ht="14.25" x14ac:dyDescent="0.2">
      <c r="B62" s="73" t="s">
        <v>102</v>
      </c>
      <c r="C62" s="15">
        <v>25</v>
      </c>
      <c r="D62" s="52">
        <v>25</v>
      </c>
      <c r="E62" s="5"/>
      <c r="F62" s="17"/>
      <c r="G62" s="17"/>
      <c r="H62" s="88"/>
      <c r="L62" s="359" t="s">
        <v>369</v>
      </c>
      <c r="N62">
        <f>M54</f>
        <v>0</v>
      </c>
    </row>
    <row r="63" spans="2:16" ht="14.25" x14ac:dyDescent="0.2">
      <c r="B63" s="268" t="s">
        <v>365</v>
      </c>
      <c r="C63" s="14">
        <v>7</v>
      </c>
      <c r="D63" s="30">
        <v>11</v>
      </c>
      <c r="E63" s="9">
        <f>IF(Utslag!B49&lt;7500,0,Utslag!B49-1000)</f>
        <v>0</v>
      </c>
      <c r="F63" s="17">
        <f>C63*E63</f>
        <v>0</v>
      </c>
      <c r="G63" s="17"/>
      <c r="H63" s="88">
        <f>D63*E63</f>
        <v>0</v>
      </c>
      <c r="L63" s="359" t="s">
        <v>371</v>
      </c>
      <c r="N63" s="276">
        <f>SUM(N58:N62)</f>
        <v>0</v>
      </c>
    </row>
    <row r="64" spans="2:16" x14ac:dyDescent="0.2">
      <c r="B64" s="323" t="s">
        <v>295</v>
      </c>
      <c r="C64" s="15"/>
      <c r="D64" s="52"/>
      <c r="E64" s="17"/>
      <c r="F64" s="17"/>
      <c r="G64" s="17"/>
      <c r="H64" s="88"/>
    </row>
    <row r="65" spans="2:12" x14ac:dyDescent="0.2">
      <c r="B65" s="322" t="s">
        <v>333</v>
      </c>
      <c r="C65" s="15">
        <v>7.0000000000000007E-2</v>
      </c>
      <c r="D65" s="52">
        <v>7.0000000000000007E-2</v>
      </c>
      <c r="E65" s="17"/>
      <c r="F65" s="17"/>
      <c r="G65" s="17"/>
      <c r="H65" s="88"/>
    </row>
    <row r="66" spans="2:12" x14ac:dyDescent="0.2">
      <c r="B66" s="322" t="s">
        <v>334</v>
      </c>
      <c r="C66" s="15">
        <v>0.15</v>
      </c>
      <c r="D66" s="52">
        <v>0.15</v>
      </c>
      <c r="E66" s="17"/>
      <c r="F66" s="17"/>
      <c r="G66" s="17"/>
      <c r="H66" s="88"/>
    </row>
    <row r="67" spans="2:12" x14ac:dyDescent="0.2">
      <c r="B67" s="322" t="s">
        <v>335</v>
      </c>
      <c r="C67" s="15">
        <v>7.0000000000000007E-2</v>
      </c>
      <c r="D67" s="52">
        <v>7.0000000000000007E-2</v>
      </c>
      <c r="E67" s="17"/>
      <c r="F67" s="17"/>
      <c r="G67" s="17"/>
      <c r="H67" s="88"/>
    </row>
    <row r="68" spans="2:12" x14ac:dyDescent="0.2">
      <c r="B68" s="103" t="s">
        <v>207</v>
      </c>
      <c r="C68" s="56">
        <v>515</v>
      </c>
      <c r="D68" s="57">
        <v>765</v>
      </c>
      <c r="E68" s="273">
        <f>Utslag!B53</f>
        <v>0</v>
      </c>
      <c r="F68" s="58">
        <f t="shared" ref="F68" si="10">C68*E68</f>
        <v>0</v>
      </c>
      <c r="G68" s="58"/>
      <c r="H68" s="104">
        <f t="shared" ref="H68" si="11">D68*E68</f>
        <v>0</v>
      </c>
    </row>
    <row r="69" spans="2:12" x14ac:dyDescent="0.2">
      <c r="B69" s="275" t="s">
        <v>238</v>
      </c>
      <c r="C69" s="15">
        <v>600</v>
      </c>
      <c r="D69" s="52">
        <v>800</v>
      </c>
      <c r="E69" s="165">
        <f>Utslag!B54</f>
        <v>0</v>
      </c>
      <c r="F69" s="58">
        <f t="shared" ref="F69" si="12">C69*E69</f>
        <v>0</v>
      </c>
      <c r="G69" s="58"/>
      <c r="H69" s="104">
        <f t="shared" ref="H69" si="13">D69*E69</f>
        <v>0</v>
      </c>
    </row>
    <row r="70" spans="2:12" x14ac:dyDescent="0.2">
      <c r="B70" s="274" t="s">
        <v>232</v>
      </c>
      <c r="C70" s="56"/>
      <c r="D70" s="57"/>
      <c r="E70" s="56"/>
      <c r="F70" s="58">
        <f t="shared" ref="F70:F75" si="14">C70*E70</f>
        <v>0</v>
      </c>
      <c r="G70" s="58"/>
      <c r="H70" s="104">
        <f t="shared" ref="H70:H75" si="15">D70*E70</f>
        <v>0</v>
      </c>
    </row>
    <row r="71" spans="2:12" x14ac:dyDescent="0.2">
      <c r="B71" s="224" t="s">
        <v>6</v>
      </c>
      <c r="C71" s="15">
        <v>3460</v>
      </c>
      <c r="D71" s="52">
        <v>3710</v>
      </c>
      <c r="E71" s="307">
        <f>Utslag!$B$60</f>
        <v>0</v>
      </c>
      <c r="F71" s="58">
        <f>C71*E71</f>
        <v>0</v>
      </c>
      <c r="G71" s="58"/>
      <c r="H71" s="104">
        <f>D71*E71</f>
        <v>0</v>
      </c>
    </row>
    <row r="72" spans="2:12" x14ac:dyDescent="0.2">
      <c r="B72" s="224" t="s">
        <v>81</v>
      </c>
      <c r="C72" s="15">
        <v>310</v>
      </c>
      <c r="D72" s="52">
        <v>310</v>
      </c>
      <c r="E72" s="307"/>
      <c r="F72" s="58">
        <f t="shared" si="14"/>
        <v>0</v>
      </c>
      <c r="G72" s="58"/>
      <c r="H72" s="104">
        <f>D72*E72</f>
        <v>0</v>
      </c>
    </row>
    <row r="73" spans="2:12" x14ac:dyDescent="0.2">
      <c r="B73" s="224" t="s">
        <v>278</v>
      </c>
      <c r="C73" s="15">
        <v>310</v>
      </c>
      <c r="D73" s="52">
        <v>310</v>
      </c>
      <c r="E73" s="309"/>
      <c r="F73" s="58">
        <f t="shared" ref="F73" si="16">C73*E73</f>
        <v>0</v>
      </c>
      <c r="G73" s="58"/>
      <c r="H73" s="104">
        <f>D73*E73</f>
        <v>0</v>
      </c>
    </row>
    <row r="74" spans="2:12" x14ac:dyDescent="0.2">
      <c r="B74" s="224" t="s">
        <v>56</v>
      </c>
      <c r="C74" s="26">
        <v>610</v>
      </c>
      <c r="D74" s="223">
        <v>610</v>
      </c>
      <c r="E74" s="165"/>
      <c r="F74" s="58">
        <f t="shared" si="14"/>
        <v>0</v>
      </c>
      <c r="G74" s="58"/>
      <c r="H74" s="104">
        <f t="shared" si="15"/>
        <v>0</v>
      </c>
    </row>
    <row r="75" spans="2:12" x14ac:dyDescent="0.2">
      <c r="B75" s="225" t="s">
        <v>60</v>
      </c>
      <c r="C75" s="47">
        <v>1200</v>
      </c>
      <c r="D75" s="267">
        <v>1200</v>
      </c>
      <c r="E75" s="273"/>
      <c r="F75" s="58">
        <f t="shared" si="14"/>
        <v>0</v>
      </c>
      <c r="G75" s="58"/>
      <c r="H75" s="104">
        <f t="shared" si="15"/>
        <v>0</v>
      </c>
    </row>
    <row r="76" spans="2:12" x14ac:dyDescent="0.2">
      <c r="B76" s="275"/>
      <c r="C76" s="17"/>
      <c r="D76" s="17"/>
      <c r="E76" s="17"/>
      <c r="F76" s="59">
        <f>SUM(F28:F75)</f>
        <v>0</v>
      </c>
      <c r="G76" s="59"/>
      <c r="H76" s="105">
        <f>SUM(H28:H75)</f>
        <v>0</v>
      </c>
    </row>
    <row r="77" spans="2:12" x14ac:dyDescent="0.2">
      <c r="B77" s="74" t="s">
        <v>32</v>
      </c>
      <c r="C77" s="106">
        <v>530000</v>
      </c>
      <c r="D77" s="106">
        <v>10000000</v>
      </c>
      <c r="E77" s="9"/>
      <c r="F77" s="9" t="s">
        <v>33</v>
      </c>
      <c r="G77" s="9"/>
      <c r="H77" s="75" t="s">
        <v>34</v>
      </c>
      <c r="I77" s="283" t="s">
        <v>32</v>
      </c>
      <c r="J77" s="284">
        <v>280000</v>
      </c>
      <c r="K77" s="285">
        <v>560000</v>
      </c>
      <c r="L77" s="286"/>
    </row>
    <row r="78" spans="2:12" x14ac:dyDescent="0.2">
      <c r="B78" s="277" t="s">
        <v>191</v>
      </c>
      <c r="C78" s="278"/>
      <c r="D78" s="278"/>
      <c r="E78" s="278"/>
      <c r="F78" s="278">
        <f>IF(F76&gt;C77,C77,F76)</f>
        <v>0</v>
      </c>
      <c r="G78" s="278"/>
      <c r="H78" s="278">
        <f>IF(H76&gt;D77,D77,H76)</f>
        <v>0</v>
      </c>
      <c r="I78" s="283" t="s">
        <v>58</v>
      </c>
      <c r="J78" s="286"/>
      <c r="K78" s="286"/>
      <c r="L78" s="286"/>
    </row>
    <row r="79" spans="2:12" x14ac:dyDescent="0.2">
      <c r="B79" s="33"/>
      <c r="C79" s="279"/>
      <c r="D79" s="279"/>
      <c r="E79" s="279"/>
      <c r="F79" s="278"/>
      <c r="G79" s="278"/>
      <c r="H79" s="278"/>
      <c r="I79" s="287"/>
      <c r="J79" s="286"/>
      <c r="K79" s="286"/>
      <c r="L79" s="286"/>
    </row>
    <row r="80" spans="2:12" x14ac:dyDescent="0.2">
      <c r="B80" s="279">
        <v>1</v>
      </c>
      <c r="C80" s="280">
        <f>IF(AND(F76&lt;$C$77,H76&lt;D77),H76-F76,0)</f>
        <v>0</v>
      </c>
      <c r="D80" s="281" t="s">
        <v>233</v>
      </c>
      <c r="E80" s="279"/>
      <c r="F80" s="279"/>
      <c r="G80" s="279"/>
      <c r="H80" s="279"/>
      <c r="I80" s="286">
        <v>1</v>
      </c>
      <c r="J80" s="288">
        <f>IF(AND(F76&lt;$J$77,H76&lt;$K$77),0,0)</f>
        <v>0</v>
      </c>
      <c r="K80" s="286"/>
      <c r="L80" s="286"/>
    </row>
    <row r="81" spans="2:25" x14ac:dyDescent="0.2">
      <c r="B81" s="279">
        <v>2</v>
      </c>
      <c r="C81" s="279">
        <f>IF(AND(F76&lt;C77,H76&gt;D77),(D77-F76),0)</f>
        <v>0</v>
      </c>
      <c r="D81" s="279" t="s">
        <v>35</v>
      </c>
      <c r="E81" s="279"/>
      <c r="F81" s="279"/>
      <c r="G81" s="279"/>
      <c r="H81" s="279"/>
      <c r="I81" s="286">
        <v>2</v>
      </c>
      <c r="J81" s="286">
        <f>IF(AND(F76&lt;J77,H76&gt;K77),(K77-F76),0)</f>
        <v>0</v>
      </c>
      <c r="K81" s="286" t="s">
        <v>35</v>
      </c>
      <c r="L81" s="286"/>
    </row>
    <row r="82" spans="2:25" x14ac:dyDescent="0.2">
      <c r="B82" s="279">
        <v>3</v>
      </c>
      <c r="C82" s="279">
        <f>IF(AND(F76&gt;C77,H76&gt;D77),(D77-C77),0)</f>
        <v>0</v>
      </c>
      <c r="D82" s="279" t="s">
        <v>36</v>
      </c>
      <c r="E82" s="279"/>
      <c r="F82" s="279"/>
      <c r="G82" s="279"/>
      <c r="H82" s="279"/>
      <c r="I82" s="286">
        <v>3</v>
      </c>
      <c r="J82" s="289">
        <f>IF(AND(F76&gt;J77,H76&gt;K77),(K77-J77),0)</f>
        <v>0</v>
      </c>
      <c r="K82" s="286" t="s">
        <v>36</v>
      </c>
      <c r="L82" s="286"/>
    </row>
    <row r="83" spans="2:25" x14ac:dyDescent="0.2">
      <c r="B83" s="282">
        <v>4</v>
      </c>
      <c r="C83" s="282">
        <f>IF(AND(F76&gt;C77,H76&lt;D77),(H76-C77),0)</f>
        <v>0</v>
      </c>
      <c r="D83" s="279" t="s">
        <v>37</v>
      </c>
      <c r="E83" s="279"/>
      <c r="F83" s="279"/>
      <c r="G83" s="279"/>
      <c r="H83" s="279"/>
      <c r="I83" s="287">
        <v>4</v>
      </c>
      <c r="J83" s="287">
        <f>IF(AND(F76&gt;J77,H76&lt;K77),(H76-J77),0)</f>
        <v>0</v>
      </c>
      <c r="K83" s="286" t="s">
        <v>37</v>
      </c>
      <c r="L83" s="286"/>
    </row>
    <row r="84" spans="2:25" x14ac:dyDescent="0.2">
      <c r="C84" s="2">
        <f>SUM(C80:C83)</f>
        <v>0</v>
      </c>
      <c r="I84" s="286"/>
      <c r="J84" s="290">
        <f>SUM(J80:J83)</f>
        <v>0</v>
      </c>
      <c r="K84" s="286"/>
      <c r="L84" s="286"/>
    </row>
    <row r="85" spans="2:25" x14ac:dyDescent="0.2">
      <c r="C85" s="2"/>
      <c r="J85" s="20"/>
    </row>
    <row r="86" spans="2:25" x14ac:dyDescent="0.2">
      <c r="B86" s="178" t="s">
        <v>213</v>
      </c>
      <c r="C86" s="2">
        <f>'Ark18'!C15*-210</f>
        <v>0</v>
      </c>
      <c r="D86">
        <f>IF(('Ark18'!C14+'Ark18'!C15)&lt;101,800*'Ark18'!C15,250*'Ark18'!C15)</f>
        <v>0</v>
      </c>
      <c r="E86">
        <f>D86+C86</f>
        <v>0</v>
      </c>
      <c r="J86" s="20"/>
    </row>
    <row r="87" spans="2:25" x14ac:dyDescent="0.2">
      <c r="B87" s="16"/>
      <c r="C87" s="17"/>
      <c r="D87" s="17"/>
      <c r="E87" s="17"/>
      <c r="F87" s="17"/>
      <c r="G87" s="17"/>
      <c r="H87" s="17"/>
      <c r="I87" s="17"/>
      <c r="J87" s="17"/>
    </row>
    <row r="88" spans="2:25" ht="14.25" x14ac:dyDescent="0.2">
      <c r="B88" s="29" t="s">
        <v>126</v>
      </c>
      <c r="C88" s="17"/>
      <c r="D88" s="166">
        <f>H78-F78</f>
        <v>0</v>
      </c>
      <c r="E88" s="17"/>
      <c r="F88" s="17"/>
      <c r="G88" s="17"/>
      <c r="H88" s="17"/>
      <c r="I88" s="17"/>
      <c r="J88" s="17"/>
      <c r="L88" s="178" t="s">
        <v>329</v>
      </c>
    </row>
    <row r="89" spans="2:25" x14ac:dyDescent="0.2">
      <c r="L89" s="178" t="s">
        <v>319</v>
      </c>
    </row>
    <row r="90" spans="2:25" x14ac:dyDescent="0.2">
      <c r="B90" s="78" t="s">
        <v>43</v>
      </c>
      <c r="C90" s="50"/>
      <c r="D90" s="50"/>
      <c r="E90" s="50"/>
      <c r="F90" s="41" t="s">
        <v>130</v>
      </c>
      <c r="G90" s="41"/>
      <c r="H90" s="87"/>
      <c r="L90" s="178" t="s">
        <v>18</v>
      </c>
      <c r="M90" s="321" t="s">
        <v>318</v>
      </c>
      <c r="N90" s="321" t="s">
        <v>318</v>
      </c>
      <c r="O90" s="321" t="s">
        <v>320</v>
      </c>
      <c r="P90" s="321" t="s">
        <v>321</v>
      </c>
      <c r="Q90" s="321"/>
      <c r="R90" s="321"/>
      <c r="S90" s="321" t="s">
        <v>322</v>
      </c>
      <c r="T90" s="321" t="s">
        <v>323</v>
      </c>
      <c r="U90" s="321" t="s">
        <v>324</v>
      </c>
      <c r="V90" s="321" t="s">
        <v>325</v>
      </c>
      <c r="W90" s="321" t="s">
        <v>326</v>
      </c>
      <c r="X90" s="321" t="s">
        <v>327</v>
      </c>
      <c r="Y90" s="321" t="s">
        <v>328</v>
      </c>
    </row>
    <row r="91" spans="2:25" x14ac:dyDescent="0.2">
      <c r="B91" s="69" t="s">
        <v>4</v>
      </c>
      <c r="C91" s="59" t="s">
        <v>27</v>
      </c>
      <c r="D91" s="59" t="s">
        <v>234</v>
      </c>
      <c r="E91" s="6" t="s">
        <v>29</v>
      </c>
      <c r="F91" s="6" t="s">
        <v>30</v>
      </c>
      <c r="G91" s="6"/>
      <c r="H91" s="79" t="s">
        <v>31</v>
      </c>
      <c r="L91" s="178" t="s">
        <v>27</v>
      </c>
      <c r="M91" s="169">
        <v>0</v>
      </c>
      <c r="N91" s="169">
        <v>0</v>
      </c>
      <c r="O91" s="169">
        <v>0</v>
      </c>
      <c r="P91">
        <v>0.03</v>
      </c>
      <c r="S91">
        <v>0.01</v>
      </c>
      <c r="T91">
        <v>0.03</v>
      </c>
      <c r="U91">
        <v>0.03</v>
      </c>
      <c r="V91">
        <v>0.03</v>
      </c>
      <c r="W91">
        <v>0.06</v>
      </c>
      <c r="X91">
        <v>0.06</v>
      </c>
      <c r="Y91">
        <v>0.06</v>
      </c>
    </row>
    <row r="92" spans="2:25" x14ac:dyDescent="0.2">
      <c r="B92" s="244" t="s">
        <v>222</v>
      </c>
      <c r="C92" s="155">
        <v>4204</v>
      </c>
      <c r="D92" s="155">
        <v>4625</v>
      </c>
      <c r="E92" s="243">
        <f>Utslag!B42</f>
        <v>0</v>
      </c>
      <c r="F92" s="49">
        <f>C92*E92</f>
        <v>0</v>
      </c>
      <c r="G92" s="49"/>
      <c r="H92" s="107">
        <f>D92*E92</f>
        <v>0</v>
      </c>
    </row>
    <row r="93" spans="2:25" x14ac:dyDescent="0.2">
      <c r="B93" s="73"/>
      <c r="C93" s="51"/>
      <c r="D93" s="51"/>
      <c r="E93" s="17"/>
      <c r="F93" s="52"/>
      <c r="G93" s="52"/>
      <c r="H93" s="108"/>
      <c r="L93" s="178" t="s">
        <v>330</v>
      </c>
      <c r="M93" s="276">
        <f>Utslag!B13+Utslag!B14</f>
        <v>0</v>
      </c>
      <c r="N93" s="44">
        <f>HLOOKUP(Utslag!B8,melk,2)</f>
        <v>0</v>
      </c>
      <c r="O93">
        <f>M93*N93</f>
        <v>0</v>
      </c>
    </row>
    <row r="94" spans="2:25" x14ac:dyDescent="0.2">
      <c r="B94" s="69" t="s">
        <v>6</v>
      </c>
      <c r="C94" s="51"/>
      <c r="D94" s="51"/>
      <c r="E94" s="17"/>
      <c r="F94" s="52"/>
      <c r="G94" s="52"/>
      <c r="H94" s="108"/>
    </row>
    <row r="95" spans="2:25" x14ac:dyDescent="0.2">
      <c r="B95" s="73" t="s">
        <v>110</v>
      </c>
      <c r="C95" s="155">
        <v>701</v>
      </c>
      <c r="D95" s="155">
        <v>771</v>
      </c>
      <c r="E95" s="165">
        <f>Utslag!B44</f>
        <v>0</v>
      </c>
      <c r="F95" s="52">
        <f>C95*E95</f>
        <v>0</v>
      </c>
      <c r="G95" s="52"/>
      <c r="H95" s="108">
        <f>D95*E95</f>
        <v>0</v>
      </c>
    </row>
    <row r="96" spans="2:25" x14ac:dyDescent="0.2">
      <c r="B96" s="73"/>
      <c r="C96" s="51"/>
      <c r="D96" s="51"/>
      <c r="E96" s="17"/>
      <c r="F96" s="52"/>
      <c r="G96" s="52"/>
      <c r="H96" s="108"/>
    </row>
    <row r="97" spans="2:19" x14ac:dyDescent="0.2">
      <c r="B97" s="69" t="s">
        <v>136</v>
      </c>
      <c r="C97" s="51"/>
      <c r="D97" s="51"/>
      <c r="E97" s="17"/>
      <c r="F97" s="52"/>
      <c r="G97" s="52"/>
      <c r="H97" s="108"/>
      <c r="L97" s="178" t="s">
        <v>316</v>
      </c>
      <c r="M97">
        <v>1</v>
      </c>
      <c r="N97">
        <v>2</v>
      </c>
      <c r="O97">
        <v>3</v>
      </c>
      <c r="P97">
        <v>4</v>
      </c>
      <c r="S97">
        <v>5</v>
      </c>
    </row>
    <row r="98" spans="2:19" x14ac:dyDescent="0.2">
      <c r="B98" s="224" t="s">
        <v>110</v>
      </c>
      <c r="C98" s="155">
        <v>969</v>
      </c>
      <c r="D98" s="155">
        <v>1066</v>
      </c>
      <c r="E98" s="165">
        <f>Utslag!B45</f>
        <v>0</v>
      </c>
      <c r="F98" s="52">
        <f>C98*E98</f>
        <v>0</v>
      </c>
      <c r="G98" s="52"/>
      <c r="H98" s="108">
        <f>D98*E98</f>
        <v>0</v>
      </c>
      <c r="L98" s="178" t="s">
        <v>331</v>
      </c>
      <c r="M98">
        <v>0</v>
      </c>
      <c r="N98">
        <v>0</v>
      </c>
      <c r="O98">
        <v>0</v>
      </c>
      <c r="P98">
        <v>1</v>
      </c>
      <c r="S98">
        <v>1</v>
      </c>
    </row>
    <row r="99" spans="2:19" x14ac:dyDescent="0.2">
      <c r="B99" s="73"/>
      <c r="C99" s="51"/>
      <c r="D99" s="51"/>
      <c r="E99" s="17"/>
      <c r="F99" s="52"/>
      <c r="G99" s="52"/>
      <c r="H99" s="108"/>
      <c r="L99" s="178" t="s">
        <v>332</v>
      </c>
      <c r="P99">
        <v>0.5</v>
      </c>
      <c r="S99">
        <v>0.5</v>
      </c>
    </row>
    <row r="100" spans="2:19" x14ac:dyDescent="0.2">
      <c r="B100" s="69" t="s">
        <v>8</v>
      </c>
      <c r="C100" s="51"/>
      <c r="D100" s="51"/>
      <c r="E100" s="17"/>
      <c r="F100" s="52"/>
      <c r="G100" s="52"/>
      <c r="H100" s="108"/>
    </row>
    <row r="101" spans="2:19" x14ac:dyDescent="0.2">
      <c r="B101" s="76" t="s">
        <v>110</v>
      </c>
      <c r="C101" s="155">
        <v>482</v>
      </c>
      <c r="D101" s="155">
        <v>530</v>
      </c>
      <c r="E101" s="165">
        <f>Utslag!B46</f>
        <v>0</v>
      </c>
      <c r="F101" s="52">
        <f>C101*E101</f>
        <v>0</v>
      </c>
      <c r="G101" s="52"/>
      <c r="H101" s="108">
        <f>D101*E101</f>
        <v>0</v>
      </c>
    </row>
    <row r="102" spans="2:19" x14ac:dyDescent="0.2">
      <c r="B102" s="69" t="s">
        <v>16</v>
      </c>
      <c r="C102" s="51"/>
      <c r="D102" s="51"/>
      <c r="E102" s="17"/>
      <c r="F102" s="52"/>
      <c r="G102" s="52"/>
      <c r="H102" s="108"/>
    </row>
    <row r="103" spans="2:19" x14ac:dyDescent="0.2">
      <c r="B103" s="91" t="s">
        <v>110</v>
      </c>
      <c r="C103" s="155">
        <v>1161</v>
      </c>
      <c r="D103" s="155">
        <v>1277</v>
      </c>
      <c r="E103" s="165">
        <f>Utslag!B43</f>
        <v>0</v>
      </c>
      <c r="F103" s="52">
        <f>C103*E103</f>
        <v>0</v>
      </c>
      <c r="G103" s="52"/>
      <c r="H103" s="108">
        <f>D103*E103</f>
        <v>0</v>
      </c>
      <c r="L103" s="178" t="s">
        <v>339</v>
      </c>
    </row>
    <row r="104" spans="2:19" x14ac:dyDescent="0.2">
      <c r="B104" s="73"/>
      <c r="C104" s="51"/>
      <c r="D104" s="51"/>
      <c r="E104" s="17"/>
      <c r="F104" s="52"/>
      <c r="G104" s="52"/>
      <c r="H104" s="108"/>
      <c r="L104" s="178" t="s">
        <v>341</v>
      </c>
      <c r="M104" s="276">
        <f>Utslag!B67</f>
        <v>0</v>
      </c>
    </row>
    <row r="105" spans="2:19" x14ac:dyDescent="0.2">
      <c r="B105" s="69" t="s">
        <v>10</v>
      </c>
      <c r="C105" s="51"/>
      <c r="D105" s="51"/>
      <c r="E105" s="17"/>
      <c r="F105" s="52"/>
      <c r="G105" s="52"/>
      <c r="H105" s="108"/>
      <c r="L105" s="178" t="s">
        <v>346</v>
      </c>
      <c r="M105" s="276">
        <f>Utslag!B68</f>
        <v>0</v>
      </c>
    </row>
    <row r="106" spans="2:19" x14ac:dyDescent="0.2">
      <c r="B106" s="91" t="s">
        <v>110</v>
      </c>
      <c r="C106" s="155">
        <v>1386</v>
      </c>
      <c r="D106" s="155">
        <v>1524</v>
      </c>
      <c r="E106" s="165">
        <f>Utslag!B47</f>
        <v>0</v>
      </c>
      <c r="F106" s="52">
        <f>C106*E106</f>
        <v>0</v>
      </c>
      <c r="G106" s="52"/>
      <c r="H106" s="108">
        <f>D106*E106</f>
        <v>0</v>
      </c>
      <c r="L106" s="178" t="s">
        <v>347</v>
      </c>
      <c r="M106" s="353">
        <f>Utslag!B69</f>
        <v>0</v>
      </c>
    </row>
    <row r="107" spans="2:19" x14ac:dyDescent="0.2">
      <c r="B107" s="73"/>
      <c r="C107" s="51"/>
      <c r="D107" s="51"/>
      <c r="E107" s="17"/>
      <c r="F107" s="52"/>
      <c r="G107" s="52"/>
      <c r="H107" s="108"/>
      <c r="L107" s="178" t="s">
        <v>348</v>
      </c>
      <c r="M107" s="353">
        <f>Utslag!B70</f>
        <v>0</v>
      </c>
    </row>
    <row r="108" spans="2:19" x14ac:dyDescent="0.2">
      <c r="B108" s="69" t="s">
        <v>11</v>
      </c>
      <c r="C108" s="51"/>
      <c r="D108" s="51"/>
      <c r="E108" s="17"/>
      <c r="F108" s="52"/>
      <c r="G108" s="52"/>
      <c r="H108" s="108"/>
      <c r="L108" s="178" t="s">
        <v>349</v>
      </c>
      <c r="M108">
        <v>9.85</v>
      </c>
    </row>
    <row r="109" spans="2:19" x14ac:dyDescent="0.2">
      <c r="B109" s="91" t="s">
        <v>110</v>
      </c>
      <c r="C109" s="155">
        <v>47</v>
      </c>
      <c r="D109" s="155">
        <v>52</v>
      </c>
      <c r="E109" s="165">
        <f>Utslag!B48</f>
        <v>0</v>
      </c>
      <c r="F109" s="52">
        <f>C109*E109</f>
        <v>0</v>
      </c>
      <c r="G109" s="52"/>
      <c r="H109" s="108">
        <f>D109*E109</f>
        <v>0</v>
      </c>
      <c r="L109" s="178" t="s">
        <v>350</v>
      </c>
      <c r="M109">
        <v>11.1</v>
      </c>
    </row>
    <row r="110" spans="2:19" x14ac:dyDescent="0.2">
      <c r="B110" s="73"/>
      <c r="C110" s="51"/>
      <c r="D110" s="51"/>
      <c r="E110" s="17"/>
      <c r="F110" s="52"/>
      <c r="G110" s="52"/>
      <c r="H110" s="108"/>
      <c r="M110">
        <f>(M108-M106)*M104+(M109-M107)*M105</f>
        <v>0</v>
      </c>
    </row>
    <row r="111" spans="2:19" x14ac:dyDescent="0.2">
      <c r="B111" s="69" t="s">
        <v>12</v>
      </c>
      <c r="C111" s="51"/>
      <c r="D111" s="51"/>
      <c r="E111" s="17"/>
      <c r="F111" s="52"/>
      <c r="G111" s="52"/>
      <c r="H111" s="108"/>
    </row>
    <row r="112" spans="2:19" x14ac:dyDescent="0.2">
      <c r="B112" s="73" t="s">
        <v>110</v>
      </c>
      <c r="C112" s="155">
        <v>12.2</v>
      </c>
      <c r="D112" s="155">
        <v>13.4</v>
      </c>
      <c r="E112" s="165">
        <f>Utslag!B49</f>
        <v>0</v>
      </c>
      <c r="F112" s="52">
        <f>C112*E112</f>
        <v>0</v>
      </c>
      <c r="G112" s="52"/>
      <c r="H112" s="108">
        <f>D112*E112</f>
        <v>0</v>
      </c>
    </row>
    <row r="113" spans="2:13" x14ac:dyDescent="0.2">
      <c r="B113" s="73"/>
      <c r="C113" s="51"/>
      <c r="D113" s="51"/>
      <c r="E113" s="17"/>
      <c r="F113" s="52"/>
      <c r="G113" s="52"/>
      <c r="H113" s="108"/>
      <c r="M113" s="178" t="s">
        <v>318</v>
      </c>
    </row>
    <row r="114" spans="2:13" x14ac:dyDescent="0.2">
      <c r="B114" s="224" t="s">
        <v>207</v>
      </c>
      <c r="C114" s="51"/>
      <c r="D114" s="51"/>
      <c r="E114" s="17"/>
      <c r="F114" s="52"/>
      <c r="G114" s="52"/>
      <c r="H114" s="108"/>
      <c r="M114" s="178" t="s">
        <v>320</v>
      </c>
    </row>
    <row r="115" spans="2:13" x14ac:dyDescent="0.2">
      <c r="B115" s="224" t="s">
        <v>110</v>
      </c>
      <c r="C115" s="51">
        <v>471</v>
      </c>
      <c r="D115" s="51">
        <v>519</v>
      </c>
      <c r="E115" s="165">
        <f>Utslag!B53</f>
        <v>0</v>
      </c>
      <c r="F115" s="52">
        <f>C115*E115</f>
        <v>0</v>
      </c>
      <c r="G115" s="52"/>
      <c r="H115" s="108">
        <f>D115*E115</f>
        <v>0</v>
      </c>
      <c r="M115" s="178" t="s">
        <v>321</v>
      </c>
    </row>
    <row r="116" spans="2:13" x14ac:dyDescent="0.2">
      <c r="B116" s="73"/>
      <c r="C116" s="51"/>
      <c r="D116" s="51"/>
      <c r="E116" s="17"/>
      <c r="F116" s="52"/>
      <c r="G116" s="52"/>
      <c r="H116" s="108"/>
      <c r="M116" s="178" t="s">
        <v>322</v>
      </c>
    </row>
    <row r="117" spans="2:13" x14ac:dyDescent="0.2">
      <c r="B117" s="69" t="s">
        <v>111</v>
      </c>
      <c r="C117" s="51"/>
      <c r="D117" s="51"/>
      <c r="E117" s="17"/>
      <c r="F117" s="52"/>
      <c r="G117" s="52"/>
      <c r="H117" s="108"/>
      <c r="M117" s="178" t="s">
        <v>323</v>
      </c>
    </row>
    <row r="118" spans="2:13" ht="11.25" customHeight="1" x14ac:dyDescent="0.2">
      <c r="B118" s="73" t="s">
        <v>110</v>
      </c>
      <c r="C118" s="155">
        <v>1386</v>
      </c>
      <c r="D118" s="155">
        <v>1524</v>
      </c>
      <c r="E118" s="165"/>
      <c r="F118" s="52"/>
      <c r="G118" s="52"/>
      <c r="H118" s="108"/>
      <c r="M118" s="178" t="s">
        <v>324</v>
      </c>
    </row>
    <row r="119" spans="2:13" x14ac:dyDescent="0.2">
      <c r="B119" s="73"/>
      <c r="C119" s="51"/>
      <c r="D119" s="51"/>
      <c r="E119" s="17"/>
      <c r="F119" s="52"/>
      <c r="G119" s="52"/>
      <c r="H119" s="108"/>
      <c r="M119" s="178" t="s">
        <v>325</v>
      </c>
    </row>
    <row r="120" spans="2:13" x14ac:dyDescent="0.2">
      <c r="B120" s="69" t="s">
        <v>112</v>
      </c>
      <c r="C120" s="51"/>
      <c r="D120" s="51"/>
      <c r="E120" s="17"/>
      <c r="F120" s="52"/>
      <c r="G120" s="52"/>
      <c r="H120" s="108"/>
      <c r="M120" s="178" t="s">
        <v>326</v>
      </c>
    </row>
    <row r="121" spans="2:13" x14ac:dyDescent="0.2">
      <c r="B121" s="73" t="s">
        <v>110</v>
      </c>
      <c r="C121" s="155">
        <v>345</v>
      </c>
      <c r="D121" s="155">
        <v>380</v>
      </c>
      <c r="E121" s="165"/>
      <c r="F121" s="52"/>
      <c r="G121" s="52"/>
      <c r="H121" s="108"/>
      <c r="M121" s="178" t="s">
        <v>327</v>
      </c>
    </row>
    <row r="122" spans="2:13" x14ac:dyDescent="0.2">
      <c r="B122" s="73"/>
      <c r="C122" s="51"/>
      <c r="D122" s="51"/>
      <c r="E122" s="17"/>
      <c r="F122" s="52"/>
      <c r="G122" s="52"/>
      <c r="H122" s="108"/>
      <c r="M122" s="178" t="s">
        <v>328</v>
      </c>
    </row>
    <row r="123" spans="2:13" x14ac:dyDescent="0.2">
      <c r="B123" s="69" t="s">
        <v>113</v>
      </c>
      <c r="C123" s="51"/>
      <c r="D123" s="51"/>
      <c r="E123" s="17"/>
      <c r="F123" s="52"/>
      <c r="G123" s="52"/>
      <c r="H123" s="108"/>
    </row>
    <row r="124" spans="2:13" x14ac:dyDescent="0.2">
      <c r="B124" s="73" t="s">
        <v>110</v>
      </c>
      <c r="C124" s="67">
        <v>4.24</v>
      </c>
      <c r="D124" s="67">
        <v>4.66</v>
      </c>
      <c r="E124" s="165"/>
      <c r="F124" s="52"/>
      <c r="G124" s="52"/>
      <c r="H124" s="108"/>
    </row>
    <row r="125" spans="2:13" x14ac:dyDescent="0.2">
      <c r="B125" s="73"/>
      <c r="C125" s="51"/>
      <c r="D125" s="51"/>
      <c r="E125" s="17"/>
      <c r="F125" s="52"/>
      <c r="G125" s="52"/>
      <c r="H125" s="108"/>
    </row>
    <row r="126" spans="2:13" x14ac:dyDescent="0.2">
      <c r="B126" s="69" t="s">
        <v>114</v>
      </c>
      <c r="C126" s="51"/>
      <c r="D126" s="51"/>
      <c r="E126" s="17"/>
      <c r="F126" s="52"/>
      <c r="G126" s="52"/>
      <c r="H126" s="108"/>
    </row>
    <row r="127" spans="2:13" x14ac:dyDescent="0.2">
      <c r="B127" s="73" t="s">
        <v>110</v>
      </c>
      <c r="C127" s="155">
        <v>4.24</v>
      </c>
      <c r="D127" s="155">
        <v>4.66</v>
      </c>
      <c r="E127" s="165"/>
      <c r="F127" s="52"/>
      <c r="G127" s="52"/>
      <c r="H127" s="108"/>
    </row>
    <row r="128" spans="2:13" x14ac:dyDescent="0.2">
      <c r="B128" s="73"/>
      <c r="C128" s="51"/>
      <c r="D128" s="51"/>
      <c r="E128" s="17"/>
      <c r="F128" s="52"/>
      <c r="G128" s="52"/>
      <c r="H128" s="108"/>
    </row>
    <row r="129" spans="2:10" x14ac:dyDescent="0.2">
      <c r="B129" s="69" t="s">
        <v>115</v>
      </c>
      <c r="C129" s="51"/>
      <c r="D129" s="51"/>
      <c r="E129" s="17"/>
      <c r="F129" s="52"/>
      <c r="G129" s="52"/>
      <c r="H129" s="108"/>
    </row>
    <row r="130" spans="2:10" x14ac:dyDescent="0.2">
      <c r="B130" s="73" t="s">
        <v>110</v>
      </c>
      <c r="C130" s="67">
        <v>0.51</v>
      </c>
      <c r="D130" s="67">
        <v>0.56000000000000005</v>
      </c>
      <c r="E130" s="165">
        <f>Utslag!B52</f>
        <v>0</v>
      </c>
      <c r="F130" s="52">
        <f>C130*E130</f>
        <v>0</v>
      </c>
      <c r="G130" s="52"/>
      <c r="H130" s="108">
        <f>D130*E130</f>
        <v>0</v>
      </c>
    </row>
    <row r="131" spans="2:10" x14ac:dyDescent="0.2">
      <c r="B131" s="73"/>
      <c r="C131" s="51"/>
      <c r="D131" s="51"/>
      <c r="E131" s="17"/>
      <c r="F131" s="52"/>
      <c r="G131" s="52"/>
      <c r="H131" s="108"/>
    </row>
    <row r="132" spans="2:10" x14ac:dyDescent="0.2">
      <c r="B132" s="69" t="s">
        <v>116</v>
      </c>
      <c r="C132" s="51"/>
      <c r="D132" s="51"/>
      <c r="F132" s="52"/>
      <c r="G132" s="52"/>
      <c r="H132" s="108"/>
    </row>
    <row r="133" spans="2:10" x14ac:dyDescent="0.2">
      <c r="B133" s="73" t="s">
        <v>110</v>
      </c>
      <c r="C133" s="155">
        <v>381</v>
      </c>
      <c r="D133" s="155">
        <v>419</v>
      </c>
      <c r="E133" s="165"/>
      <c r="F133" s="52"/>
      <c r="G133" s="52"/>
      <c r="H133" s="108"/>
    </row>
    <row r="134" spans="2:10" x14ac:dyDescent="0.2">
      <c r="B134" s="73"/>
      <c r="C134" s="51"/>
      <c r="D134" s="51"/>
      <c r="E134" s="17"/>
      <c r="F134" s="52"/>
      <c r="G134" s="52"/>
      <c r="H134" s="108"/>
    </row>
    <row r="135" spans="2:10" x14ac:dyDescent="0.2">
      <c r="B135" s="69" t="s">
        <v>117</v>
      </c>
      <c r="C135" s="51"/>
      <c r="D135" s="51"/>
      <c r="E135" s="17"/>
      <c r="F135" s="52"/>
      <c r="G135" s="52"/>
      <c r="H135" s="108"/>
    </row>
    <row r="136" spans="2:10" x14ac:dyDescent="0.2">
      <c r="B136" s="74" t="s">
        <v>110</v>
      </c>
      <c r="C136" s="155">
        <v>112</v>
      </c>
      <c r="D136" s="155">
        <v>123</v>
      </c>
      <c r="E136" s="273"/>
      <c r="F136" s="30"/>
      <c r="G136" s="30"/>
      <c r="H136" s="109"/>
    </row>
    <row r="137" spans="2:10" x14ac:dyDescent="0.2">
      <c r="B137" s="90"/>
      <c r="C137" s="110"/>
      <c r="D137" s="15"/>
      <c r="E137" s="17"/>
      <c r="F137" s="17"/>
      <c r="G137" s="17"/>
      <c r="H137" s="88"/>
    </row>
    <row r="138" spans="2:10" x14ac:dyDescent="0.2">
      <c r="B138" s="69"/>
      <c r="C138" s="110"/>
      <c r="D138" s="15"/>
      <c r="E138" s="17"/>
      <c r="F138" s="111">
        <f>SUM(F92:F136)</f>
        <v>0</v>
      </c>
      <c r="G138" s="111"/>
      <c r="H138" s="112">
        <f>SUM(H92:H136)</f>
        <v>0</v>
      </c>
      <c r="J138" s="7"/>
    </row>
    <row r="139" spans="2:10" x14ac:dyDescent="0.2">
      <c r="B139" s="71" t="s">
        <v>32</v>
      </c>
      <c r="C139" s="106">
        <v>87800</v>
      </c>
      <c r="D139" s="113">
        <v>96580</v>
      </c>
      <c r="E139" s="9"/>
      <c r="F139" s="9" t="s">
        <v>33</v>
      </c>
      <c r="G139" s="9"/>
      <c r="H139" s="75" t="s">
        <v>34</v>
      </c>
    </row>
    <row r="140" spans="2:10" x14ac:dyDescent="0.2">
      <c r="B140" s="5"/>
    </row>
    <row r="141" spans="2:10" x14ac:dyDescent="0.2">
      <c r="B141" s="33"/>
      <c r="C141" s="279"/>
      <c r="D141" s="279"/>
      <c r="E141" s="279"/>
      <c r="F141" s="11"/>
      <c r="G141" s="11"/>
    </row>
    <row r="142" spans="2:10" x14ac:dyDescent="0.2">
      <c r="B142" s="279">
        <v>1</v>
      </c>
      <c r="C142" s="280">
        <f>IF(AND(F138&lt;$C$139,H138&lt;$D$139),H138-F138,0)</f>
        <v>0</v>
      </c>
      <c r="D142" s="279"/>
      <c r="E142" s="279"/>
    </row>
    <row r="143" spans="2:10" x14ac:dyDescent="0.2">
      <c r="B143" s="279">
        <v>2</v>
      </c>
      <c r="C143" s="279">
        <f>IF(AND(F138&lt;C139,H138&gt;D139),(D139-F138),0)</f>
        <v>0</v>
      </c>
      <c r="D143" s="279" t="s">
        <v>35</v>
      </c>
      <c r="E143" s="279"/>
    </row>
    <row r="144" spans="2:10" x14ac:dyDescent="0.2">
      <c r="B144" s="279">
        <v>3</v>
      </c>
      <c r="C144" s="279">
        <f>IF(AND(F138&gt;C139,H138&gt;D139),(D139-C139),0)</f>
        <v>0</v>
      </c>
      <c r="D144" s="279" t="s">
        <v>36</v>
      </c>
      <c r="E144" s="279"/>
    </row>
    <row r="145" spans="2:8" x14ac:dyDescent="0.2">
      <c r="B145" s="282">
        <v>4</v>
      </c>
      <c r="C145" s="282">
        <f>IF(AND(F138&gt;C139,H138&lt;D139),(H138-$C$139),0)</f>
        <v>0</v>
      </c>
      <c r="D145" s="279" t="s">
        <v>37</v>
      </c>
      <c r="E145" s="279"/>
    </row>
    <row r="146" spans="2:8" x14ac:dyDescent="0.2">
      <c r="B146" s="279"/>
      <c r="C146" s="291">
        <f>SUM(C142:C145)</f>
        <v>0</v>
      </c>
      <c r="D146" s="279"/>
      <c r="E146" s="279"/>
    </row>
    <row r="147" spans="2:8" x14ac:dyDescent="0.2">
      <c r="C147" s="2"/>
    </row>
    <row r="148" spans="2:8" x14ac:dyDescent="0.2">
      <c r="C148" s="2"/>
    </row>
    <row r="149" spans="2:8" x14ac:dyDescent="0.2">
      <c r="C149" s="2"/>
    </row>
    <row r="150" spans="2:8" x14ac:dyDescent="0.2">
      <c r="C150" s="2"/>
    </row>
    <row r="151" spans="2:8" x14ac:dyDescent="0.2">
      <c r="C151" s="2"/>
    </row>
    <row r="152" spans="2:8" x14ac:dyDescent="0.2">
      <c r="B152" s="2" t="s">
        <v>72</v>
      </c>
    </row>
    <row r="153" spans="2:8" x14ac:dyDescent="0.2">
      <c r="B153" s="178" t="s">
        <v>235</v>
      </c>
      <c r="C153">
        <v>0</v>
      </c>
    </row>
    <row r="154" spans="2:8" x14ac:dyDescent="0.2">
      <c r="B154" t="s">
        <v>73</v>
      </c>
      <c r="C154">
        <v>0</v>
      </c>
    </row>
    <row r="155" spans="2:8" x14ac:dyDescent="0.2">
      <c r="B155" t="s">
        <v>74</v>
      </c>
      <c r="C155">
        <v>0</v>
      </c>
    </row>
    <row r="156" spans="2:8" x14ac:dyDescent="0.2">
      <c r="B156" t="s">
        <v>56</v>
      </c>
      <c r="C156">
        <v>0</v>
      </c>
    </row>
    <row r="157" spans="2:8" x14ac:dyDescent="0.2">
      <c r="C157" s="2" t="e">
        <f>IF(Utslag!#REF!&gt;0,Utslag!#REF!,IF(Utslag!#REF!&lt;0,Utslag!#REF!,IF(Utslag!#REF!&gt;0,Utslag!#REF!,IF(Utslag!#REF!&lt;0,Utslag!#REF!,Utslag!#REF!))))</f>
        <v>#REF!</v>
      </c>
      <c r="E157" s="157" t="s">
        <v>170</v>
      </c>
      <c r="F157" t="s">
        <v>171</v>
      </c>
      <c r="H157" t="s">
        <v>172</v>
      </c>
    </row>
    <row r="158" spans="2:8" x14ac:dyDescent="0.2">
      <c r="B158" t="s">
        <v>75</v>
      </c>
      <c r="C158">
        <f>IF('Ark18'!C11&gt;49,9000,IF('Ark18'!C11&gt;5,'Ark18'!C11*580,0))</f>
        <v>0</v>
      </c>
      <c r="E158">
        <v>580</v>
      </c>
      <c r="F158">
        <v>580</v>
      </c>
      <c r="H158">
        <v>9000</v>
      </c>
    </row>
    <row r="159" spans="2:8" x14ac:dyDescent="0.2">
      <c r="C159" s="2" t="e">
        <f>IF(C157&gt;0,C157,IF(C157&lt;0,C157,C158))</f>
        <v>#REF!</v>
      </c>
    </row>
    <row r="160" spans="2:8" x14ac:dyDescent="0.2">
      <c r="B160" t="s">
        <v>76</v>
      </c>
    </row>
    <row r="161" spans="1:37" x14ac:dyDescent="0.2">
      <c r="C161" s="31" t="e">
        <f>IF(C159&gt;0,C159,IF(C159&lt;0,C159,Utslag!#REF!))</f>
        <v>#REF!</v>
      </c>
      <c r="D161" t="s">
        <v>77</v>
      </c>
    </row>
    <row r="163" spans="1:37" x14ac:dyDescent="0.2">
      <c r="B163" t="s">
        <v>173</v>
      </c>
      <c r="C163" t="e">
        <f>IF(Utslag!#REF!+C158+Utslag!#REF!=0,Utslag!#REF!+Utslag!#REF!,0)</f>
        <v>#REF!</v>
      </c>
    </row>
    <row r="164" spans="1:37" x14ac:dyDescent="0.2">
      <c r="B164" t="s">
        <v>174</v>
      </c>
      <c r="C164" t="e">
        <f>IF(Utslag!#REF!+Utslag!#REF!+C158+Utslag!#REF!=0,Utslag!#REF!,0)</f>
        <v>#REF!</v>
      </c>
    </row>
    <row r="165" spans="1:37" x14ac:dyDescent="0.2">
      <c r="B165" t="s">
        <v>175</v>
      </c>
      <c r="C165" t="e">
        <f>IF(Utslag!#REF!+Utslag!#REF!+Utslag!#REF!+Utslag!#REF!=0,C158,0)</f>
        <v>#REF!</v>
      </c>
    </row>
    <row r="166" spans="1:37" x14ac:dyDescent="0.2">
      <c r="B166" t="s">
        <v>176</v>
      </c>
      <c r="C166" t="e">
        <f>IF(Utslag!#REF!+Utslag!#REF!+Utslag!#REF!+C158=0,Utslag!#REF!,0)</f>
        <v>#REF!</v>
      </c>
    </row>
    <row r="167" spans="1:37" x14ac:dyDescent="0.2">
      <c r="B167" t="s">
        <v>177</v>
      </c>
      <c r="C167" t="e">
        <f>IF(AND(Utslag!#REF!&gt;0,Utslag!#REF!&gt;0),0,Utslag!#REF!)</f>
        <v>#REF!</v>
      </c>
      <c r="F167" s="2"/>
      <c r="G167" s="2"/>
    </row>
    <row r="168" spans="1:37" x14ac:dyDescent="0.2">
      <c r="B168" t="s">
        <v>178</v>
      </c>
      <c r="C168" t="e">
        <f>IF(AND(Utslag!#REF!&gt;0,Utslag!#REF!&gt;0),0,IF(AND('Ark18'!C11&gt;6,'Ark18'!C11&lt;50,'Ark18'!C11*2000),IF('Ark18'!C11&gt;50,80000),0))</f>
        <v>#REF!</v>
      </c>
    </row>
    <row r="172" spans="1:37" ht="16.5" customHeight="1" x14ac:dyDescent="0.25">
      <c r="A172" s="24"/>
      <c r="B172" s="28"/>
      <c r="C172" s="25"/>
      <c r="D172" s="10"/>
      <c r="E172" s="10"/>
      <c r="F172" s="10"/>
      <c r="G172" s="10"/>
      <c r="H172" s="10"/>
      <c r="I172" s="10"/>
      <c r="J172" s="2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 customHeight="1" x14ac:dyDescent="0.25">
      <c r="A173" s="24"/>
      <c r="B173" s="28"/>
      <c r="C173" s="25"/>
      <c r="D173" s="10"/>
      <c r="E173" s="10"/>
      <c r="F173" s="10"/>
      <c r="G173" s="10"/>
      <c r="H173" s="10"/>
      <c r="I173" s="10"/>
      <c r="J173" s="2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5" spans="1:37" ht="16.5" customHeight="1" x14ac:dyDescent="0.25">
      <c r="A175" s="24"/>
      <c r="B175" s="28"/>
      <c r="C175" s="25"/>
      <c r="D175" s="10"/>
      <c r="E175" s="10"/>
      <c r="F175" s="10"/>
      <c r="G175" s="10"/>
      <c r="H175" s="10"/>
      <c r="I175" s="10"/>
      <c r="J175" s="2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 customHeight="1" x14ac:dyDescent="0.25">
      <c r="A176" s="24"/>
      <c r="B176" s="28"/>
      <c r="C176" s="25"/>
      <c r="D176" s="10"/>
      <c r="E176" s="10"/>
      <c r="F176" s="10"/>
      <c r="G176" s="10"/>
      <c r="H176" s="10"/>
      <c r="I176" s="10"/>
      <c r="J176" s="2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 customHeight="1" x14ac:dyDescent="0.25">
      <c r="A177" s="24"/>
      <c r="B177" s="28"/>
      <c r="C177" s="25"/>
      <c r="D177" s="10"/>
      <c r="E177" s="10"/>
      <c r="F177" s="10"/>
      <c r="G177" s="10"/>
      <c r="H177" s="10"/>
      <c r="I177" s="10"/>
      <c r="J177" s="2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9" spans="1:37" ht="16.5" customHeight="1" x14ac:dyDescent="0.25">
      <c r="A179" s="24"/>
      <c r="B179" s="28"/>
      <c r="C179" s="25"/>
      <c r="D179" s="10"/>
      <c r="E179" s="10"/>
      <c r="F179" s="10"/>
      <c r="G179" s="10"/>
      <c r="H179" s="10"/>
      <c r="I179" s="10"/>
      <c r="J179" s="2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5.75" customHeight="1" x14ac:dyDescent="0.25">
      <c r="A180" s="24"/>
      <c r="B180" s="27"/>
      <c r="C180" s="25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5" x14ac:dyDescent="0.25">
      <c r="A181" s="24"/>
      <c r="B181" s="23"/>
      <c r="C181" s="25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5" spans="1:37" x14ac:dyDescent="0.2">
      <c r="B185" t="s">
        <v>151</v>
      </c>
      <c r="C185" t="s">
        <v>27</v>
      </c>
      <c r="D185" s="178" t="s">
        <v>234</v>
      </c>
      <c r="E185" s="178" t="s">
        <v>237</v>
      </c>
      <c r="H185" t="s">
        <v>30</v>
      </c>
    </row>
    <row r="187" spans="1:37" x14ac:dyDescent="0.2">
      <c r="B187" t="s">
        <v>62</v>
      </c>
      <c r="C187" s="156">
        <v>1650</v>
      </c>
      <c r="D187" s="156">
        <v>1650</v>
      </c>
      <c r="E187" s="276">
        <f>D187-C187</f>
        <v>0</v>
      </c>
      <c r="H187">
        <f>E187*(Utslag!B38+Utslag!B39+Utslag!B40)</f>
        <v>0</v>
      </c>
      <c r="J187" s="324">
        <f>IF(Utslag!$B$10="Nei",0,Satser!$H$198)</f>
        <v>0</v>
      </c>
    </row>
    <row r="188" spans="1:37" x14ac:dyDescent="0.2">
      <c r="B188" t="s">
        <v>38</v>
      </c>
      <c r="C188" s="156">
        <v>800</v>
      </c>
      <c r="D188" s="156">
        <v>800</v>
      </c>
      <c r="E188" s="276">
        <f t="shared" ref="E188:E197" si="17">D188-C188</f>
        <v>0</v>
      </c>
      <c r="H188">
        <f>E188*Utslag!B37</f>
        <v>0</v>
      </c>
    </row>
    <row r="189" spans="1:37" x14ac:dyDescent="0.2">
      <c r="B189" t="s">
        <v>48</v>
      </c>
      <c r="C189" s="156">
        <v>400</v>
      </c>
      <c r="D189" s="156">
        <v>500</v>
      </c>
      <c r="E189" s="276">
        <f t="shared" si="17"/>
        <v>100</v>
      </c>
      <c r="H189">
        <f>E189*Utslag!B36</f>
        <v>0</v>
      </c>
    </row>
    <row r="190" spans="1:37" x14ac:dyDescent="0.2">
      <c r="B190" t="s">
        <v>47</v>
      </c>
      <c r="C190" s="156">
        <v>25</v>
      </c>
      <c r="D190" s="156">
        <v>40</v>
      </c>
      <c r="E190" s="276">
        <f t="shared" si="17"/>
        <v>15</v>
      </c>
      <c r="H190">
        <f>E190*(Utslag!B35+Utslag!B34*0.6)</f>
        <v>0</v>
      </c>
    </row>
    <row r="191" spans="1:37" x14ac:dyDescent="0.2">
      <c r="B191" t="s">
        <v>168</v>
      </c>
      <c r="C191" s="156">
        <v>3600</v>
      </c>
      <c r="D191" s="156">
        <v>4100</v>
      </c>
      <c r="E191" s="276">
        <f t="shared" si="17"/>
        <v>500</v>
      </c>
      <c r="H191">
        <f>E191*Utslag!B42</f>
        <v>0</v>
      </c>
    </row>
    <row r="192" spans="1:37" x14ac:dyDescent="0.2">
      <c r="B192" t="s">
        <v>16</v>
      </c>
      <c r="C192" s="156">
        <v>2500</v>
      </c>
      <c r="D192" s="156">
        <v>3000</v>
      </c>
      <c r="E192" s="276">
        <f t="shared" si="17"/>
        <v>500</v>
      </c>
      <c r="H192">
        <f>E192*Utslag!B43</f>
        <v>0</v>
      </c>
    </row>
    <row r="193" spans="2:9" x14ac:dyDescent="0.2">
      <c r="B193" t="s">
        <v>152</v>
      </c>
      <c r="C193" s="156">
        <v>730</v>
      </c>
      <c r="D193" s="156">
        <v>730</v>
      </c>
      <c r="E193" s="276">
        <f t="shared" si="17"/>
        <v>0</v>
      </c>
      <c r="H193">
        <f>E193*Utslag!B44</f>
        <v>0</v>
      </c>
    </row>
    <row r="194" spans="2:9" x14ac:dyDescent="0.2">
      <c r="B194" t="s">
        <v>169</v>
      </c>
      <c r="C194" s="156">
        <v>500</v>
      </c>
      <c r="D194" s="156">
        <v>500</v>
      </c>
      <c r="E194" s="276">
        <f t="shared" si="17"/>
        <v>0</v>
      </c>
      <c r="H194">
        <f>E194*Utslag!B46</f>
        <v>0</v>
      </c>
    </row>
    <row r="195" spans="2:9" x14ac:dyDescent="0.2">
      <c r="B195" t="s">
        <v>153</v>
      </c>
      <c r="C195" s="156">
        <v>517</v>
      </c>
      <c r="D195" s="156">
        <v>517</v>
      </c>
      <c r="E195" s="276">
        <f t="shared" si="17"/>
        <v>0</v>
      </c>
    </row>
    <row r="196" spans="2:9" x14ac:dyDescent="0.2">
      <c r="B196" t="s">
        <v>11</v>
      </c>
      <c r="C196" s="156">
        <v>315</v>
      </c>
      <c r="D196" s="156">
        <v>315</v>
      </c>
      <c r="E196" s="276">
        <f t="shared" si="17"/>
        <v>0</v>
      </c>
      <c r="F196" s="18"/>
      <c r="G196" s="18"/>
      <c r="I196" s="20"/>
    </row>
    <row r="197" spans="2:9" x14ac:dyDescent="0.2">
      <c r="B197" t="s">
        <v>7</v>
      </c>
      <c r="C197" s="156">
        <v>353</v>
      </c>
      <c r="D197" s="156">
        <v>353</v>
      </c>
      <c r="E197" s="276">
        <f t="shared" si="17"/>
        <v>0</v>
      </c>
      <c r="F197" s="18"/>
      <c r="G197" s="18"/>
      <c r="H197">
        <f>E197*Utslag!B45</f>
        <v>0</v>
      </c>
      <c r="I197" s="20"/>
    </row>
    <row r="198" spans="2:9" x14ac:dyDescent="0.2">
      <c r="D198" s="5"/>
      <c r="E198" s="1"/>
      <c r="F198" s="18" t="s">
        <v>156</v>
      </c>
      <c r="G198" s="18"/>
      <c r="H198" s="19">
        <f>SUM(H187:H197)</f>
        <v>0</v>
      </c>
      <c r="I198" s="19"/>
    </row>
    <row r="199" spans="2:9" x14ac:dyDescent="0.2">
      <c r="D199" s="5"/>
      <c r="E199" s="1"/>
      <c r="F199" s="18"/>
      <c r="G199" s="18"/>
      <c r="H199" s="19"/>
      <c r="I199" s="20">
        <f>I198+H198</f>
        <v>0</v>
      </c>
    </row>
    <row r="200" spans="2:9" x14ac:dyDescent="0.2">
      <c r="D200" s="5"/>
      <c r="E200" s="1"/>
      <c r="F200" s="18"/>
      <c r="G200" s="18"/>
      <c r="H200" s="19"/>
      <c r="I200" s="20"/>
    </row>
    <row r="201" spans="2:9" x14ac:dyDescent="0.2">
      <c r="D201" s="1"/>
      <c r="E201" s="1"/>
      <c r="F201" s="7"/>
      <c r="G201" s="7"/>
    </row>
    <row r="202" spans="2:9" x14ac:dyDescent="0.2">
      <c r="C202" t="s">
        <v>180</v>
      </c>
      <c r="D202" s="158" t="s">
        <v>163</v>
      </c>
      <c r="E202" s="158" t="s">
        <v>56</v>
      </c>
      <c r="F202" s="158" t="s">
        <v>16</v>
      </c>
      <c r="G202" s="158"/>
      <c r="H202" s="158" t="s">
        <v>179</v>
      </c>
    </row>
    <row r="203" spans="2:9" x14ac:dyDescent="0.2">
      <c r="C203" t="s">
        <v>181</v>
      </c>
      <c r="D203">
        <f>D204/5</f>
        <v>24400</v>
      </c>
      <c r="E203" s="7">
        <f>130000/27</f>
        <v>4814.8148148148148</v>
      </c>
      <c r="F203">
        <v>0</v>
      </c>
      <c r="H203">
        <v>0</v>
      </c>
    </row>
    <row r="204" spans="2:9" x14ac:dyDescent="0.2">
      <c r="C204" t="s">
        <v>182</v>
      </c>
      <c r="D204">
        <f>IF(Utslag!B6&gt;5,130000,IF(Utslag!B6=2,115000,122000))</f>
        <v>122000</v>
      </c>
      <c r="E204">
        <v>130000</v>
      </c>
      <c r="F204">
        <v>0</v>
      </c>
      <c r="H204">
        <v>0</v>
      </c>
    </row>
    <row r="205" spans="2:9" x14ac:dyDescent="0.2">
      <c r="C205" t="s">
        <v>183</v>
      </c>
    </row>
    <row r="206" spans="2:9" x14ac:dyDescent="0.2">
      <c r="C206" t="s">
        <v>181</v>
      </c>
      <c r="D206">
        <f>IF(Utslag!B6&lt;6,25000,24800)</f>
        <v>25000</v>
      </c>
      <c r="E206" s="7">
        <f>133000/27</f>
        <v>4925.9259259259261</v>
      </c>
      <c r="F206">
        <v>0</v>
      </c>
      <c r="H206">
        <v>0</v>
      </c>
    </row>
    <row r="207" spans="2:9" x14ac:dyDescent="0.2">
      <c r="C207" t="s">
        <v>182</v>
      </c>
      <c r="D207">
        <f>IF(Utslag!B6&gt;5,133000,IF(Utslag!B6=2,118000,125000))</f>
        <v>125000</v>
      </c>
      <c r="E207">
        <v>133000</v>
      </c>
      <c r="F207">
        <v>0</v>
      </c>
      <c r="H207">
        <v>0</v>
      </c>
    </row>
    <row r="209" spans="2:12" x14ac:dyDescent="0.2">
      <c r="C209" t="s">
        <v>184</v>
      </c>
    </row>
    <row r="210" spans="2:12" x14ac:dyDescent="0.2">
      <c r="C210" t="s">
        <v>180</v>
      </c>
      <c r="D210">
        <f>IF('Ark18'!$C$10&lt;5,'Ark18'!$C$10*Satser!D$203,Satser!D$204)</f>
        <v>0</v>
      </c>
      <c r="E210">
        <f>IF('Ark18'!$C$13&lt;27,'Ark18'!$C$13*Satser!E$203,Satser!E$204)</f>
        <v>0</v>
      </c>
      <c r="F210">
        <f>IF('Ark18'!$C$11&lt;6,0,IF('Ark18'!$C$11&lt;50,'Ark18'!$C$11*Satser!F$203,Satser!F$204))</f>
        <v>0</v>
      </c>
      <c r="H210">
        <f>IF('Ark18'!$C$14&lt;10,0,IF('Ark18'!$C$14&lt;50,'Ark18'!$C$14*Satser!H$203,Satser!H$204))</f>
        <v>0</v>
      </c>
      <c r="I210">
        <f>MAX(D210:H210)</f>
        <v>0</v>
      </c>
    </row>
    <row r="211" spans="2:12" x14ac:dyDescent="0.2">
      <c r="C211" t="s">
        <v>185</v>
      </c>
      <c r="D211">
        <f>IF('Ark18'!$C$10&lt;5,'Ark18'!$C$10*Satser!D$206,Satser!D$207)</f>
        <v>0</v>
      </c>
      <c r="E211">
        <f>IF('Ark18'!$C$13&lt;27,'Ark18'!$C$13*Satser!E$206,Satser!E$207)</f>
        <v>0</v>
      </c>
      <c r="F211">
        <f>IF('Ark18'!$C$11&lt;6,0,IF('Ark18'!$C$11&lt;50,'Ark18'!$C$11*Satser!F$206,Satser!F$207))</f>
        <v>0</v>
      </c>
      <c r="H211">
        <f>IF('Ark18'!$C$14&lt;10,0,IF('Ark18'!$C$14&lt;50,'Ark18'!$C$14*Satser!H$206,Satser!H$207))</f>
        <v>0</v>
      </c>
      <c r="I211">
        <f>MAX(D211:H211)</f>
        <v>0</v>
      </c>
    </row>
    <row r="212" spans="2:12" x14ac:dyDescent="0.2">
      <c r="C212" t="s">
        <v>186</v>
      </c>
      <c r="D212">
        <f>IF($I$211=D211,0,D211)</f>
        <v>0</v>
      </c>
      <c r="E212">
        <f>IF($I$211=E211,0,E211)</f>
        <v>0</v>
      </c>
      <c r="F212">
        <f>IF($I$211=F211,0,F211)</f>
        <v>0</v>
      </c>
      <c r="H212">
        <f>IF($I$211=H211,0,H211)</f>
        <v>0</v>
      </c>
      <c r="I212">
        <f>MAX(D212:H212)</f>
        <v>0</v>
      </c>
    </row>
    <row r="213" spans="2:12" x14ac:dyDescent="0.2">
      <c r="C213" s="64" t="s">
        <v>187</v>
      </c>
      <c r="D213" s="64"/>
      <c r="E213" s="64"/>
      <c r="F213" s="64"/>
      <c r="G213" s="64"/>
      <c r="H213" s="64"/>
      <c r="I213" s="64">
        <f>SUM(I211:I212)-I210</f>
        <v>0</v>
      </c>
    </row>
    <row r="216" spans="2:12" x14ac:dyDescent="0.2">
      <c r="I216" s="178" t="s">
        <v>196</v>
      </c>
      <c r="K216" s="178" t="s">
        <v>197</v>
      </c>
      <c r="L216">
        <v>3</v>
      </c>
    </row>
    <row r="217" spans="2:12" x14ac:dyDescent="0.2">
      <c r="H217" s="178" t="s">
        <v>163</v>
      </c>
      <c r="I217" s="179">
        <v>3600</v>
      </c>
      <c r="J217" s="179">
        <v>18000</v>
      </c>
      <c r="K217" s="179">
        <v>0</v>
      </c>
      <c r="L217" s="179">
        <v>0</v>
      </c>
    </row>
    <row r="218" spans="2:12" x14ac:dyDescent="0.2">
      <c r="H218" s="178" t="s">
        <v>56</v>
      </c>
      <c r="I218" s="179">
        <v>667</v>
      </c>
      <c r="J218" s="179">
        <v>18000</v>
      </c>
      <c r="K218" s="179"/>
      <c r="L218" s="179"/>
    </row>
    <row r="219" spans="2:12" x14ac:dyDescent="0.2">
      <c r="H219" s="178" t="s">
        <v>16</v>
      </c>
      <c r="I219" s="179">
        <v>360</v>
      </c>
      <c r="J219" s="179">
        <v>18000</v>
      </c>
      <c r="K219" s="179"/>
      <c r="L219" s="179"/>
    </row>
    <row r="221" spans="2:12" ht="15" x14ac:dyDescent="0.25">
      <c r="B221" s="293" t="s">
        <v>193</v>
      </c>
      <c r="C221" s="168">
        <v>39630</v>
      </c>
      <c r="D221" s="168">
        <v>39448</v>
      </c>
      <c r="H221" s="178" t="s">
        <v>163</v>
      </c>
      <c r="I221">
        <f>I213</f>
        <v>0</v>
      </c>
    </row>
    <row r="222" spans="2:12" x14ac:dyDescent="0.2">
      <c r="B222" s="127" t="s">
        <v>163</v>
      </c>
      <c r="C222" s="128">
        <v>0.36</v>
      </c>
      <c r="D222" s="169">
        <v>0</v>
      </c>
      <c r="H222" s="178" t="s">
        <v>16</v>
      </c>
      <c r="I222" s="180">
        <f>IF('Ark18'!C11&lt;6,0,IF('Ark18'!C11&lt;40,25*'Ark18'!C11,IF('Ark18'!C11&lt;40,0*'Ark18'!C11+1000,1000)))</f>
        <v>0</v>
      </c>
    </row>
    <row r="223" spans="2:12" x14ac:dyDescent="0.2">
      <c r="B223" s="131" t="s">
        <v>6</v>
      </c>
      <c r="C223" s="132">
        <v>0</v>
      </c>
      <c r="D223" s="169">
        <v>0</v>
      </c>
      <c r="H223" s="178"/>
    </row>
    <row r="224" spans="2:12" x14ac:dyDescent="0.2">
      <c r="B224" s="131" t="s">
        <v>79</v>
      </c>
      <c r="C224" s="132">
        <v>0</v>
      </c>
      <c r="D224" s="169">
        <v>0</v>
      </c>
    </row>
    <row r="225" spans="2:12" x14ac:dyDescent="0.2">
      <c r="B225" s="131" t="s">
        <v>134</v>
      </c>
      <c r="C225" s="132">
        <v>0</v>
      </c>
      <c r="D225" s="169"/>
    </row>
    <row r="226" spans="2:12" x14ac:dyDescent="0.2">
      <c r="B226" s="131" t="s">
        <v>81</v>
      </c>
      <c r="C226" s="132">
        <v>0</v>
      </c>
      <c r="D226" s="169">
        <v>0</v>
      </c>
    </row>
    <row r="227" spans="2:12" x14ac:dyDescent="0.2">
      <c r="B227" s="177" t="s">
        <v>242</v>
      </c>
      <c r="C227" s="292">
        <v>1</v>
      </c>
      <c r="D227" s="169">
        <v>0</v>
      </c>
    </row>
    <row r="228" spans="2:12" x14ac:dyDescent="0.2">
      <c r="B228" s="177" t="s">
        <v>243</v>
      </c>
      <c r="C228" s="292">
        <v>1</v>
      </c>
      <c r="D228" s="169"/>
    </row>
    <row r="229" spans="2:12" x14ac:dyDescent="0.2">
      <c r="B229" s="177" t="s">
        <v>244</v>
      </c>
      <c r="C229" s="292">
        <v>0.9</v>
      </c>
      <c r="D229" s="169"/>
    </row>
    <row r="230" spans="2:12" x14ac:dyDescent="0.2">
      <c r="B230" s="177" t="s">
        <v>51</v>
      </c>
      <c r="C230" s="232">
        <v>0.92700000000000005</v>
      </c>
      <c r="D230" s="169"/>
    </row>
    <row r="231" spans="2:12" x14ac:dyDescent="0.2">
      <c r="B231" s="131" t="s">
        <v>167</v>
      </c>
      <c r="C231" s="132">
        <v>0.9</v>
      </c>
      <c r="D231" s="169"/>
      <c r="F231" s="78" t="s">
        <v>118</v>
      </c>
      <c r="G231" s="41"/>
      <c r="H231" s="48"/>
      <c r="I231" s="49"/>
      <c r="J231" s="50"/>
      <c r="K231" s="50"/>
      <c r="L231" s="87"/>
    </row>
    <row r="232" spans="2:12" x14ac:dyDescent="0.2">
      <c r="B232" s="131" t="s">
        <v>69</v>
      </c>
      <c r="C232" s="132">
        <v>1.9</v>
      </c>
      <c r="D232" s="169"/>
      <c r="F232" s="73" t="s">
        <v>119</v>
      </c>
      <c r="G232" s="5"/>
      <c r="H232" s="15"/>
      <c r="I232" s="167"/>
      <c r="J232" s="165">
        <f>'Ark18'!C20</f>
        <v>0</v>
      </c>
      <c r="K232" s="17">
        <f>H232*J232</f>
        <v>0</v>
      </c>
      <c r="L232" s="88">
        <f>I232*J232</f>
        <v>0</v>
      </c>
    </row>
    <row r="233" spans="2:12" x14ac:dyDescent="0.2">
      <c r="B233" s="131" t="s">
        <v>80</v>
      </c>
      <c r="C233" s="132">
        <v>0</v>
      </c>
      <c r="D233" s="169">
        <v>0</v>
      </c>
      <c r="F233" s="73" t="s">
        <v>148</v>
      </c>
      <c r="G233" s="5"/>
      <c r="H233" s="15">
        <v>500</v>
      </c>
      <c r="I233" s="167">
        <v>500</v>
      </c>
      <c r="J233" s="17">
        <v>0</v>
      </c>
      <c r="K233" s="17">
        <f>H233*J233</f>
        <v>0</v>
      </c>
      <c r="L233" s="88">
        <f>I233*J233</f>
        <v>0</v>
      </c>
    </row>
    <row r="234" spans="2:12" x14ac:dyDescent="0.2">
      <c r="B234" s="131" t="s">
        <v>38</v>
      </c>
      <c r="C234" s="132">
        <v>0.9</v>
      </c>
      <c r="D234" s="169">
        <v>0</v>
      </c>
      <c r="F234" s="74" t="s">
        <v>121</v>
      </c>
      <c r="G234" s="3"/>
      <c r="H234" s="14">
        <v>300</v>
      </c>
      <c r="I234" s="30">
        <v>300</v>
      </c>
      <c r="J234" s="9"/>
      <c r="K234" s="9"/>
      <c r="L234" s="75"/>
    </row>
    <row r="235" spans="2:12" x14ac:dyDescent="0.2">
      <c r="B235" s="177" t="s">
        <v>143</v>
      </c>
      <c r="C235" s="182">
        <v>0.15</v>
      </c>
      <c r="D235" s="170">
        <v>0</v>
      </c>
    </row>
    <row r="236" spans="2:12" x14ac:dyDescent="0.2">
      <c r="B236" s="177" t="s">
        <v>62</v>
      </c>
      <c r="C236" s="134">
        <v>0.15</v>
      </c>
      <c r="D236" s="170">
        <v>0</v>
      </c>
    </row>
    <row r="240" spans="2:12" x14ac:dyDescent="0.2">
      <c r="B240" t="s">
        <v>195</v>
      </c>
      <c r="C240">
        <v>0</v>
      </c>
    </row>
    <row r="242" spans="2:4" x14ac:dyDescent="0.2">
      <c r="B242" t="s">
        <v>78</v>
      </c>
      <c r="C242">
        <v>0</v>
      </c>
    </row>
    <row r="246" spans="2:4" x14ac:dyDescent="0.2">
      <c r="C246">
        <f>1.5</f>
        <v>1.5</v>
      </c>
    </row>
    <row r="247" spans="2:4" x14ac:dyDescent="0.2">
      <c r="C247">
        <v>26.22</v>
      </c>
    </row>
    <row r="248" spans="2:4" x14ac:dyDescent="0.2">
      <c r="C248">
        <f>C246/C247</f>
        <v>5.7208237986270026E-2</v>
      </c>
    </row>
    <row r="253" spans="2:4" x14ac:dyDescent="0.2">
      <c r="B253" s="140" t="s">
        <v>115</v>
      </c>
      <c r="C253" s="163"/>
      <c r="D253" s="133" t="s">
        <v>5</v>
      </c>
    </row>
    <row r="255" spans="2:4" x14ac:dyDescent="0.2">
      <c r="C255" s="178"/>
    </row>
    <row r="256" spans="2:4" x14ac:dyDescent="0.2">
      <c r="B256" s="178"/>
    </row>
    <row r="257" spans="2:2" x14ac:dyDescent="0.2">
      <c r="B257" s="178"/>
    </row>
    <row r="258" spans="2:2" x14ac:dyDescent="0.2">
      <c r="B258" s="181"/>
    </row>
    <row r="259" spans="2:2" x14ac:dyDescent="0.2">
      <c r="B259" s="181"/>
    </row>
    <row r="260" spans="2:2" x14ac:dyDescent="0.2">
      <c r="B260" s="181"/>
    </row>
    <row r="261" spans="2:2" x14ac:dyDescent="0.2">
      <c r="B261" s="181"/>
    </row>
    <row r="262" spans="2:2" x14ac:dyDescent="0.2">
      <c r="B262" s="181"/>
    </row>
    <row r="263" spans="2:2" x14ac:dyDescent="0.2">
      <c r="B263" s="181"/>
    </row>
    <row r="264" spans="2:2" x14ac:dyDescent="0.2">
      <c r="B264" s="181"/>
    </row>
    <row r="265" spans="2:2" x14ac:dyDescent="0.2">
      <c r="B265" s="181"/>
    </row>
    <row r="266" spans="2:2" x14ac:dyDescent="0.2">
      <c r="B266" s="181"/>
    </row>
    <row r="267" spans="2:2" x14ac:dyDescent="0.2">
      <c r="B267" s="181"/>
    </row>
    <row r="268" spans="2:2" x14ac:dyDescent="0.2">
      <c r="B268" s="181"/>
    </row>
    <row r="269" spans="2:2" x14ac:dyDescent="0.2">
      <c r="B269" s="181"/>
    </row>
    <row r="270" spans="2:2" x14ac:dyDescent="0.2">
      <c r="B270" s="181"/>
    </row>
    <row r="271" spans="2:2" x14ac:dyDescent="0.2">
      <c r="B271" s="181"/>
    </row>
    <row r="272" spans="2:2" x14ac:dyDescent="0.2">
      <c r="B272" s="181"/>
    </row>
    <row r="273" spans="2:2" x14ac:dyDescent="0.2">
      <c r="B273" s="181"/>
    </row>
    <row r="274" spans="2:2" x14ac:dyDescent="0.2">
      <c r="B274" s="181"/>
    </row>
    <row r="275" spans="2:2" x14ac:dyDescent="0.2">
      <c r="B275" s="181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93" t="s">
        <v>143</v>
      </c>
      <c r="C6" s="231"/>
      <c r="D6" s="190" t="s">
        <v>3</v>
      </c>
    </row>
    <row r="7" spans="2:4" ht="15" x14ac:dyDescent="0.25">
      <c r="B7" s="193" t="s">
        <v>141</v>
      </c>
      <c r="C7" s="226"/>
      <c r="D7" s="190" t="s">
        <v>3</v>
      </c>
    </row>
    <row r="8" spans="2:4" ht="15" x14ac:dyDescent="0.25">
      <c r="B8" s="193" t="s">
        <v>51</v>
      </c>
      <c r="C8" s="231"/>
      <c r="D8" s="190" t="s">
        <v>3</v>
      </c>
    </row>
    <row r="9" spans="2:4" ht="15" x14ac:dyDescent="0.25">
      <c r="B9" s="193" t="s">
        <v>50</v>
      </c>
      <c r="C9" s="231"/>
      <c r="D9" s="190" t="s">
        <v>3</v>
      </c>
    </row>
    <row r="10" spans="2:4" ht="15" x14ac:dyDescent="0.25">
      <c r="B10" s="193" t="s">
        <v>4</v>
      </c>
      <c r="C10" s="230"/>
      <c r="D10" s="190" t="s">
        <v>5</v>
      </c>
    </row>
    <row r="11" spans="2:4" ht="15" x14ac:dyDescent="0.25">
      <c r="B11" s="193" t="s">
        <v>188</v>
      </c>
      <c r="C11" s="230"/>
      <c r="D11" s="190" t="s">
        <v>5</v>
      </c>
    </row>
    <row r="12" spans="2:4" ht="15" x14ac:dyDescent="0.25">
      <c r="B12" s="193" t="s">
        <v>6</v>
      </c>
      <c r="C12" s="230"/>
      <c r="D12" s="190" t="s">
        <v>5</v>
      </c>
    </row>
    <row r="13" spans="2:4" ht="15" x14ac:dyDescent="0.25">
      <c r="B13" s="193" t="s">
        <v>65</v>
      </c>
      <c r="C13" s="230"/>
      <c r="D13" s="190" t="s">
        <v>5</v>
      </c>
    </row>
    <row r="14" spans="2:4" ht="15" x14ac:dyDescent="0.25">
      <c r="B14" s="193" t="s">
        <v>169</v>
      </c>
      <c r="C14" s="230"/>
      <c r="D14" s="190" t="s">
        <v>5</v>
      </c>
    </row>
    <row r="15" spans="2:4" ht="15" x14ac:dyDescent="0.25">
      <c r="B15" s="193" t="s">
        <v>213</v>
      </c>
      <c r="C15" s="230"/>
      <c r="D15" s="190" t="s">
        <v>5</v>
      </c>
    </row>
    <row r="16" spans="2:4" ht="15" x14ac:dyDescent="0.25">
      <c r="B16" s="193" t="s">
        <v>207</v>
      </c>
      <c r="C16" s="230"/>
      <c r="D16" s="190" t="s">
        <v>5</v>
      </c>
    </row>
    <row r="17" spans="2:4" ht="15" x14ac:dyDescent="0.25">
      <c r="B17" s="188" t="s">
        <v>132</v>
      </c>
      <c r="C17" s="200"/>
      <c r="D17" s="190"/>
    </row>
    <row r="18" spans="2:4" ht="15" x14ac:dyDescent="0.25">
      <c r="B18" s="193" t="s">
        <v>161</v>
      </c>
      <c r="C18" s="226"/>
      <c r="D18" s="190" t="s">
        <v>5</v>
      </c>
    </row>
    <row r="19" spans="2:4" ht="15" x14ac:dyDescent="0.25">
      <c r="B19" s="194" t="s">
        <v>162</v>
      </c>
      <c r="C19" s="195"/>
      <c r="D19" s="192" t="s">
        <v>5</v>
      </c>
    </row>
    <row r="20" spans="2:4" ht="15" x14ac:dyDescent="0.25">
      <c r="B20" s="193" t="s">
        <v>192</v>
      </c>
      <c r="C20" s="226"/>
      <c r="D20" s="190" t="s">
        <v>59</v>
      </c>
    </row>
    <row r="21" spans="2:4" ht="15" x14ac:dyDescent="0.25">
      <c r="B21" s="194" t="s">
        <v>127</v>
      </c>
      <c r="C21" s="239"/>
      <c r="D21" s="192" t="s">
        <v>5</v>
      </c>
    </row>
    <row r="22" spans="2:4" ht="15" x14ac:dyDescent="0.25">
      <c r="B22" s="235" t="s">
        <v>150</v>
      </c>
      <c r="C22" s="199"/>
      <c r="D22" s="237" t="s">
        <v>2</v>
      </c>
    </row>
    <row r="23" spans="2:4" ht="15" x14ac:dyDescent="0.25">
      <c r="B23" s="188" t="s">
        <v>159</v>
      </c>
      <c r="C23" s="189"/>
      <c r="D23" s="190"/>
    </row>
    <row r="24" spans="2:4" ht="15" x14ac:dyDescent="0.25">
      <c r="B24" s="188" t="s">
        <v>199</v>
      </c>
      <c r="C24" s="189" t="s">
        <v>212</v>
      </c>
      <c r="D24" s="190"/>
    </row>
    <row r="25" spans="2:4" ht="15" x14ac:dyDescent="0.25">
      <c r="B25" s="191" t="s">
        <v>158</v>
      </c>
      <c r="C25" s="220"/>
      <c r="D25" s="192"/>
    </row>
    <row r="29" spans="2:4" x14ac:dyDescent="0.2">
      <c r="B29" s="164"/>
      <c r="C29" s="164"/>
      <c r="D29" s="164"/>
    </row>
    <row r="30" spans="2:4" x14ac:dyDescent="0.2">
      <c r="B30" s="164"/>
      <c r="C30" s="164"/>
      <c r="D30" s="164"/>
    </row>
    <row r="31" spans="2:4" x14ac:dyDescent="0.2">
      <c r="B31" s="164"/>
      <c r="C31" s="164"/>
      <c r="D31" s="164"/>
    </row>
    <row r="32" spans="2:4" ht="15.75" thickBot="1" x14ac:dyDescent="0.3">
      <c r="B32" s="240" t="s">
        <v>223</v>
      </c>
      <c r="C32" s="241"/>
      <c r="D32" s="242"/>
    </row>
    <row r="33" spans="2:4" x14ac:dyDescent="0.2">
      <c r="B33" s="238"/>
      <c r="C33" s="238"/>
      <c r="D33" s="238"/>
    </row>
    <row r="34" spans="2:4" x14ac:dyDescent="0.2">
      <c r="B34" s="238"/>
      <c r="C34" s="238"/>
      <c r="D34" s="238"/>
    </row>
    <row r="35" spans="2:4" x14ac:dyDescent="0.2">
      <c r="B35" s="238"/>
      <c r="C35" s="238"/>
      <c r="D35" s="238"/>
    </row>
    <row r="36" spans="2:4" x14ac:dyDescent="0.2">
      <c r="B36" s="238"/>
      <c r="C36" s="238"/>
      <c r="D36" s="238"/>
    </row>
    <row r="37" spans="2:4" x14ac:dyDescent="0.2">
      <c r="B37" s="238"/>
      <c r="C37" s="238"/>
      <c r="D37" s="238"/>
    </row>
    <row r="38" spans="2:4" x14ac:dyDescent="0.2">
      <c r="B38" s="238"/>
      <c r="C38" s="238"/>
      <c r="D38" s="238"/>
    </row>
    <row r="39" spans="2:4" x14ac:dyDescent="0.2">
      <c r="B39" s="164"/>
      <c r="C39" s="164"/>
      <c r="D39" s="164"/>
    </row>
    <row r="40" spans="2:4" ht="15" x14ac:dyDescent="0.25">
      <c r="B40" s="193" t="s">
        <v>143</v>
      </c>
      <c r="C40" s="231"/>
      <c r="D40" s="190" t="s">
        <v>3</v>
      </c>
    </row>
    <row r="41" spans="2:4" ht="15" x14ac:dyDescent="0.25">
      <c r="B41" s="193" t="s">
        <v>141</v>
      </c>
      <c r="C41" s="226"/>
      <c r="D41" s="190" t="s">
        <v>3</v>
      </c>
    </row>
    <row r="42" spans="2:4" ht="15" x14ac:dyDescent="0.25">
      <c r="B42" s="193" t="s">
        <v>51</v>
      </c>
      <c r="C42" s="231"/>
      <c r="D42" s="190" t="s">
        <v>3</v>
      </c>
    </row>
    <row r="43" spans="2:4" ht="15" x14ac:dyDescent="0.25">
      <c r="B43" s="193" t="s">
        <v>50</v>
      </c>
      <c r="C43" s="231"/>
      <c r="D43" s="190" t="s">
        <v>3</v>
      </c>
    </row>
    <row r="44" spans="2:4" x14ac:dyDescent="0.2">
      <c r="B44" s="164"/>
      <c r="C44" s="164"/>
      <c r="D44" s="164"/>
    </row>
    <row r="45" spans="2:4" x14ac:dyDescent="0.2">
      <c r="B45" s="164"/>
      <c r="C45" s="164"/>
      <c r="D45" s="164"/>
    </row>
    <row r="46" spans="2:4" x14ac:dyDescent="0.2">
      <c r="B46" s="164"/>
      <c r="C46" s="164"/>
      <c r="D46" s="164"/>
    </row>
    <row r="47" spans="2:4" x14ac:dyDescent="0.2">
      <c r="B47" s="164"/>
      <c r="C47" s="164"/>
      <c r="D47" s="164"/>
    </row>
    <row r="48" spans="2:4" x14ac:dyDescent="0.2">
      <c r="B48" s="164"/>
      <c r="C48" s="164"/>
      <c r="D48" s="164"/>
    </row>
    <row r="49" spans="2:4" ht="15" x14ac:dyDescent="0.25">
      <c r="B49" s="193" t="s">
        <v>213</v>
      </c>
      <c r="C49" s="230"/>
      <c r="D49" s="190" t="s">
        <v>5</v>
      </c>
    </row>
    <row r="50" spans="2:4" ht="15" x14ac:dyDescent="0.25">
      <c r="B50" s="193" t="s">
        <v>207</v>
      </c>
      <c r="C50" s="230"/>
      <c r="D50" s="190" t="s">
        <v>5</v>
      </c>
    </row>
    <row r="51" spans="2:4" ht="15" x14ac:dyDescent="0.25">
      <c r="B51" s="188" t="s">
        <v>132</v>
      </c>
      <c r="C51" s="200"/>
      <c r="D51" s="190"/>
    </row>
    <row r="52" spans="2:4" ht="15" x14ac:dyDescent="0.25">
      <c r="B52" s="193" t="s">
        <v>161</v>
      </c>
      <c r="C52" s="226"/>
      <c r="D52" s="190" t="s">
        <v>5</v>
      </c>
    </row>
    <row r="53" spans="2:4" ht="15" x14ac:dyDescent="0.25">
      <c r="B53" s="194" t="s">
        <v>162</v>
      </c>
      <c r="C53" s="195"/>
      <c r="D53" s="192" t="s">
        <v>5</v>
      </c>
    </row>
    <row r="54" spans="2:4" ht="15" x14ac:dyDescent="0.25">
      <c r="B54" s="193" t="s">
        <v>192</v>
      </c>
      <c r="C54" s="226"/>
      <c r="D54" s="190" t="s">
        <v>59</v>
      </c>
    </row>
    <row r="55" spans="2:4" ht="15" x14ac:dyDescent="0.25">
      <c r="B55" s="194" t="s">
        <v>127</v>
      </c>
      <c r="C55" s="239"/>
      <c r="D55" s="192" t="s">
        <v>5</v>
      </c>
    </row>
    <row r="56" spans="2:4" ht="15" x14ac:dyDescent="0.25">
      <c r="B56" s="235" t="s">
        <v>150</v>
      </c>
      <c r="C56" s="199"/>
      <c r="D56" s="237" t="s">
        <v>2</v>
      </c>
    </row>
    <row r="57" spans="2:4" ht="15" x14ac:dyDescent="0.25">
      <c r="B57" s="188" t="s">
        <v>159</v>
      </c>
      <c r="C57" s="189"/>
      <c r="D57" s="190"/>
    </row>
    <row r="58" spans="2:4" ht="15" x14ac:dyDescent="0.25">
      <c r="B58" s="188" t="s">
        <v>199</v>
      </c>
      <c r="C58" s="189" t="s">
        <v>212</v>
      </c>
      <c r="D58" s="190"/>
    </row>
    <row r="59" spans="2:4" ht="15" x14ac:dyDescent="0.25">
      <c r="B59" s="191" t="s">
        <v>158</v>
      </c>
      <c r="C59" s="220"/>
      <c r="D59" s="192"/>
    </row>
    <row r="60" spans="2:4" x14ac:dyDescent="0.2">
      <c r="B60" s="238"/>
      <c r="C60" s="238"/>
      <c r="D60" s="238"/>
    </row>
    <row r="61" spans="2:4" x14ac:dyDescent="0.2">
      <c r="B61" s="238"/>
      <c r="C61" s="238"/>
      <c r="D61" s="238"/>
    </row>
  </sheetData>
  <dataValidations count="3">
    <dataValidation type="list" allowBlank="1" showInputMessage="1" showErrorMessage="1" sqref="C23 C57" xr:uid="{00000000-0002-0000-0400-000000000000}">
      <formula1>"a,b,c,d,e,f,g,h,i,j,"</formula1>
    </dataValidation>
    <dataValidation type="list" allowBlank="1" showInputMessage="1" showErrorMessage="1" sqref="C24 C58" xr:uid="{00000000-0002-0000-0400-000001000000}">
      <formula1>"Ja,Nei"</formula1>
    </dataValidation>
    <dataValidation type="list" allowBlank="1" showInputMessage="1" showErrorMessage="1" sqref="C25 C59" xr:uid="{00000000-0002-0000-0400-000002000000}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10</vt:i4>
      </vt:variant>
    </vt:vector>
  </HeadingPairs>
  <TitlesOfParts>
    <vt:vector size="32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distrmelk</vt:lpstr>
      <vt:lpstr>Dmelk</vt:lpstr>
      <vt:lpstr>innm</vt:lpstr>
      <vt:lpstr>melk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Siv Iren Åmodt Moe</cp:lastModifiedBy>
  <cp:lastPrinted>2022-05-16T06:23:26Z</cp:lastPrinted>
  <dcterms:created xsi:type="dcterms:W3CDTF">2000-05-18T12:37:17Z</dcterms:created>
  <dcterms:modified xsi:type="dcterms:W3CDTF">2022-05-16T10:57:33Z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